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lukas\Documents\Rohrwärmerechner\"/>
    </mc:Choice>
  </mc:AlternateContent>
  <xr:revisionPtr revIDLastSave="0" documentId="13_ncr:1_{08A0A276-1A15-4B94-B2D8-2354285C083E}" xr6:coauthVersionLast="47" xr6:coauthVersionMax="47" xr10:uidLastSave="{00000000-0000-0000-0000-000000000000}"/>
  <bookViews>
    <workbookView xWindow="-120" yWindow="-120" windowWidth="29040" windowHeight="15720" xr2:uid="{00000000-000D-0000-FFFF-FFFF00000000}"/>
  </bookViews>
  <sheets>
    <sheet name="Rohrwärme-Rechner" sheetId="1" r:id="rId1"/>
    <sheet name="Basisempfindlichkeiten" sheetId="2" r:id="rId2"/>
    <sheet name="Formeln &amp; Abkürzungen" sheetId="3" r:id="rId3"/>
    <sheet name="VDI-Referenzbeispiel 1"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51" i="4" l="1"/>
  <c r="O51" i="4"/>
  <c r="P51" i="4"/>
  <c r="Q51" i="4"/>
  <c r="R51" i="4"/>
  <c r="S51" i="4"/>
  <c r="T51" i="4"/>
  <c r="U51" i="4"/>
  <c r="V51" i="4"/>
  <c r="W51" i="4"/>
  <c r="X51" i="4"/>
  <c r="Y51" i="4"/>
  <c r="Z51" i="4"/>
  <c r="G51" i="1"/>
  <c r="H51" i="1"/>
  <c r="I51" i="1"/>
  <c r="J51" i="1"/>
  <c r="K51" i="1"/>
  <c r="L51" i="1"/>
  <c r="M51" i="1"/>
  <c r="N51" i="1"/>
  <c r="O51" i="1"/>
  <c r="P51" i="1"/>
  <c r="Q51" i="1"/>
  <c r="R51" i="1"/>
  <c r="S51" i="1"/>
  <c r="T51" i="1"/>
  <c r="U51" i="1"/>
  <c r="V51" i="1"/>
  <c r="W51" i="1"/>
  <c r="X51" i="1"/>
  <c r="Y51" i="1"/>
  <c r="Z51" i="1"/>
  <c r="Z49" i="4"/>
  <c r="Y49" i="4"/>
  <c r="X49" i="4"/>
  <c r="W49" i="4"/>
  <c r="V49" i="4"/>
  <c r="U49" i="4"/>
  <c r="T49" i="4"/>
  <c r="S49" i="4"/>
  <c r="R49" i="4"/>
  <c r="Q49" i="4"/>
  <c r="P49" i="4"/>
  <c r="O49" i="4"/>
  <c r="N49" i="4"/>
  <c r="Z48" i="4"/>
  <c r="Y48" i="4"/>
  <c r="X48" i="4"/>
  <c r="W48" i="4"/>
  <c r="V48" i="4"/>
  <c r="U48" i="4"/>
  <c r="T48" i="4"/>
  <c r="S48" i="4"/>
  <c r="R48" i="4"/>
  <c r="Q48" i="4"/>
  <c r="P48" i="4"/>
  <c r="O48" i="4"/>
  <c r="N48" i="4"/>
  <c r="Z47" i="4"/>
  <c r="Y47" i="4"/>
  <c r="X47" i="4"/>
  <c r="W47" i="4"/>
  <c r="V47" i="4"/>
  <c r="U47" i="4"/>
  <c r="T47" i="4"/>
  <c r="S47" i="4"/>
  <c r="R47" i="4"/>
  <c r="Q47" i="4"/>
  <c r="P47" i="4"/>
  <c r="O47" i="4"/>
  <c r="N47" i="4"/>
  <c r="Z46" i="4"/>
  <c r="Y46" i="4"/>
  <c r="X46" i="4"/>
  <c r="W46" i="4"/>
  <c r="V46" i="4"/>
  <c r="U46" i="4"/>
  <c r="T46" i="4"/>
  <c r="S46" i="4"/>
  <c r="R46" i="4"/>
  <c r="Q46" i="4"/>
  <c r="P46" i="4"/>
  <c r="O46" i="4"/>
  <c r="N46" i="4"/>
  <c r="Z45" i="4"/>
  <c r="Y45" i="4"/>
  <c r="X45" i="4"/>
  <c r="W45" i="4"/>
  <c r="V45" i="4"/>
  <c r="U45" i="4"/>
  <c r="T45" i="4"/>
  <c r="S45" i="4"/>
  <c r="R45" i="4"/>
  <c r="Q45" i="4"/>
  <c r="P45" i="4"/>
  <c r="O45" i="4"/>
  <c r="N45" i="4"/>
  <c r="Z44" i="4"/>
  <c r="Y44" i="4"/>
  <c r="X44" i="4"/>
  <c r="W44" i="4"/>
  <c r="V44" i="4"/>
  <c r="U44" i="4"/>
  <c r="T44" i="4"/>
  <c r="S44" i="4"/>
  <c r="R44" i="4"/>
  <c r="Q44" i="4"/>
  <c r="P44" i="4"/>
  <c r="O44" i="4"/>
  <c r="N44" i="4"/>
  <c r="Z43" i="4"/>
  <c r="Y43" i="4"/>
  <c r="X43" i="4"/>
  <c r="W43" i="4"/>
  <c r="V43" i="4"/>
  <c r="U43" i="4"/>
  <c r="T43" i="4"/>
  <c r="S43" i="4"/>
  <c r="R43" i="4"/>
  <c r="Q43" i="4"/>
  <c r="P43" i="4"/>
  <c r="O43" i="4"/>
  <c r="N43" i="4"/>
  <c r="Z41" i="4"/>
  <c r="Z42" i="4" s="1"/>
  <c r="Y41" i="4"/>
  <c r="Y42" i="4" s="1"/>
  <c r="X41" i="4"/>
  <c r="X42" i="4" s="1"/>
  <c r="W41" i="4"/>
  <c r="W42" i="4" s="1"/>
  <c r="V41" i="4"/>
  <c r="V42" i="4" s="1"/>
  <c r="U41" i="4"/>
  <c r="U42" i="4" s="1"/>
  <c r="T41" i="4"/>
  <c r="T42" i="4" s="1"/>
  <c r="S41" i="4"/>
  <c r="S42" i="4" s="1"/>
  <c r="R41" i="4"/>
  <c r="R42" i="4" s="1"/>
  <c r="Q41" i="4"/>
  <c r="Q42" i="4" s="1"/>
  <c r="P41" i="4"/>
  <c r="P42" i="4" s="1"/>
  <c r="O41" i="4"/>
  <c r="O42" i="4" s="1"/>
  <c r="N41" i="4"/>
  <c r="N42" i="4" s="1"/>
  <c r="M41" i="4"/>
  <c r="L41" i="4"/>
  <c r="K41" i="4"/>
  <c r="J41" i="4"/>
  <c r="I41" i="4"/>
  <c r="H41" i="4"/>
  <c r="G41" i="4"/>
  <c r="F41" i="4"/>
  <c r="E41" i="4"/>
  <c r="D41" i="4"/>
  <c r="C41" i="4"/>
  <c r="B41" i="4"/>
  <c r="AA40" i="4"/>
  <c r="AA39" i="4"/>
  <c r="B21" i="4"/>
  <c r="B13" i="4"/>
  <c r="G12" i="4"/>
  <c r="B12" i="4"/>
  <c r="G11" i="4"/>
  <c r="B11" i="4"/>
  <c r="G10" i="4"/>
  <c r="B9" i="4"/>
  <c r="B8" i="4"/>
  <c r="B10" i="4" s="1"/>
  <c r="Z49" i="1"/>
  <c r="Y49" i="1"/>
  <c r="X49" i="1"/>
  <c r="W49" i="1"/>
  <c r="V49" i="1"/>
  <c r="U49" i="1"/>
  <c r="T49" i="1"/>
  <c r="S49" i="1"/>
  <c r="R49" i="1"/>
  <c r="Q49" i="1"/>
  <c r="P49" i="1"/>
  <c r="O49" i="1"/>
  <c r="N49" i="1"/>
  <c r="M49" i="1"/>
  <c r="L49" i="1"/>
  <c r="K49" i="1"/>
  <c r="J49" i="1"/>
  <c r="I49" i="1"/>
  <c r="H49" i="1"/>
  <c r="G49" i="1"/>
  <c r="Z48" i="1"/>
  <c r="Y48" i="1"/>
  <c r="X48" i="1"/>
  <c r="W48" i="1"/>
  <c r="V48" i="1"/>
  <c r="U48" i="1"/>
  <c r="T48" i="1"/>
  <c r="S48" i="1"/>
  <c r="R48" i="1"/>
  <c r="Q48" i="1"/>
  <c r="P48" i="1"/>
  <c r="O48" i="1"/>
  <c r="N48" i="1"/>
  <c r="M48" i="1"/>
  <c r="L48" i="1"/>
  <c r="K48" i="1"/>
  <c r="J48" i="1"/>
  <c r="I48" i="1"/>
  <c r="H48" i="1"/>
  <c r="G48" i="1"/>
  <c r="Z47" i="1"/>
  <c r="Y47" i="1"/>
  <c r="X47" i="1"/>
  <c r="W47" i="1"/>
  <c r="V47" i="1"/>
  <c r="U47" i="1"/>
  <c r="T47" i="1"/>
  <c r="S47" i="1"/>
  <c r="R47" i="1"/>
  <c r="Q47" i="1"/>
  <c r="P47" i="1"/>
  <c r="O47" i="1"/>
  <c r="N47" i="1"/>
  <c r="M47" i="1"/>
  <c r="L47" i="1"/>
  <c r="K47" i="1"/>
  <c r="J47" i="1"/>
  <c r="I47" i="1"/>
  <c r="H47" i="1"/>
  <c r="G47" i="1"/>
  <c r="Z46" i="1"/>
  <c r="Y46" i="1"/>
  <c r="X46" i="1"/>
  <c r="W46" i="1"/>
  <c r="V46" i="1"/>
  <c r="U46" i="1"/>
  <c r="T46" i="1"/>
  <c r="S46" i="1"/>
  <c r="R46" i="1"/>
  <c r="Q46" i="1"/>
  <c r="P46" i="1"/>
  <c r="O46" i="1"/>
  <c r="N46" i="1"/>
  <c r="M46" i="1"/>
  <c r="L46" i="1"/>
  <c r="K46" i="1"/>
  <c r="J46" i="1"/>
  <c r="I46" i="1"/>
  <c r="H46" i="1"/>
  <c r="G46" i="1"/>
  <c r="Z45" i="1"/>
  <c r="Y45" i="1"/>
  <c r="X45" i="1"/>
  <c r="W45" i="1"/>
  <c r="V45" i="1"/>
  <c r="U45" i="1"/>
  <c r="T45" i="1"/>
  <c r="S45" i="1"/>
  <c r="R45" i="1"/>
  <c r="Q45" i="1"/>
  <c r="P45" i="1"/>
  <c r="O45" i="1"/>
  <c r="N45" i="1"/>
  <c r="M45" i="1"/>
  <c r="L45" i="1"/>
  <c r="K45" i="1"/>
  <c r="J45" i="1"/>
  <c r="I45" i="1"/>
  <c r="H45" i="1"/>
  <c r="G45" i="1"/>
  <c r="Z44" i="1"/>
  <c r="Y44" i="1"/>
  <c r="X44" i="1"/>
  <c r="W44" i="1"/>
  <c r="V44" i="1"/>
  <c r="U44" i="1"/>
  <c r="T44" i="1"/>
  <c r="S44" i="1"/>
  <c r="R44" i="1"/>
  <c r="Q44" i="1"/>
  <c r="P44" i="1"/>
  <c r="O44" i="1"/>
  <c r="N44" i="1"/>
  <c r="M44" i="1"/>
  <c r="L44" i="1"/>
  <c r="K44" i="1"/>
  <c r="J44" i="1"/>
  <c r="I44" i="1"/>
  <c r="H44" i="1"/>
  <c r="G44" i="1"/>
  <c r="F44" i="1"/>
  <c r="E44" i="1"/>
  <c r="Z43" i="1"/>
  <c r="Y43" i="1"/>
  <c r="X43" i="1"/>
  <c r="W43" i="1"/>
  <c r="V43" i="1"/>
  <c r="U43" i="1"/>
  <c r="T43" i="1"/>
  <c r="S43" i="1"/>
  <c r="R43" i="1"/>
  <c r="Q43" i="1"/>
  <c r="P43" i="1"/>
  <c r="O43" i="1"/>
  <c r="N43" i="1"/>
  <c r="M43" i="1"/>
  <c r="L43" i="1"/>
  <c r="K43" i="1"/>
  <c r="J43" i="1"/>
  <c r="I43" i="1"/>
  <c r="H43" i="1"/>
  <c r="G43" i="1"/>
  <c r="Z41" i="1"/>
  <c r="Z42" i="1" s="1"/>
  <c r="Y41" i="1"/>
  <c r="Y42" i="1" s="1"/>
  <c r="X41" i="1"/>
  <c r="X42" i="1" s="1"/>
  <c r="W41" i="1"/>
  <c r="W42" i="1" s="1"/>
  <c r="V41" i="1"/>
  <c r="V42" i="1" s="1"/>
  <c r="U41" i="1"/>
  <c r="U42" i="1" s="1"/>
  <c r="T41" i="1"/>
  <c r="T42" i="1" s="1"/>
  <c r="S41" i="1"/>
  <c r="S42" i="1" s="1"/>
  <c r="R41" i="1"/>
  <c r="R42" i="1" s="1"/>
  <c r="Q41" i="1"/>
  <c r="Q42" i="1" s="1"/>
  <c r="P41" i="1"/>
  <c r="P42" i="1" s="1"/>
  <c r="O41" i="1"/>
  <c r="O42" i="1" s="1"/>
  <c r="N41" i="1"/>
  <c r="N42" i="1" s="1"/>
  <c r="M41" i="1"/>
  <c r="M42" i="1" s="1"/>
  <c r="L41" i="1"/>
  <c r="L42" i="1" s="1"/>
  <c r="K41" i="1"/>
  <c r="K42" i="1" s="1"/>
  <c r="J41" i="1"/>
  <c r="J42" i="1" s="1"/>
  <c r="I41" i="1"/>
  <c r="I42" i="1" s="1"/>
  <c r="H41" i="1"/>
  <c r="H42" i="1" s="1"/>
  <c r="G41" i="1"/>
  <c r="G42" i="1" s="1"/>
  <c r="F41" i="1"/>
  <c r="E41" i="1"/>
  <c r="D41" i="1"/>
  <c r="C41" i="1"/>
  <c r="B41" i="1"/>
  <c r="AA40" i="1"/>
  <c r="AA39" i="1"/>
  <c r="B21" i="1"/>
  <c r="B13" i="1"/>
  <c r="G12" i="1"/>
  <c r="B12" i="1"/>
  <c r="G11" i="1"/>
  <c r="B11" i="1"/>
  <c r="G10" i="1"/>
  <c r="B9" i="1"/>
  <c r="F43" i="1" s="1"/>
  <c r="B8" i="1"/>
  <c r="B10" i="1" s="1"/>
  <c r="B44" i="4" l="1"/>
  <c r="B43" i="1"/>
  <c r="D44" i="1"/>
  <c r="F42" i="1"/>
  <c r="AA41" i="1"/>
  <c r="C44" i="1"/>
  <c r="F45" i="1"/>
  <c r="B44" i="1"/>
  <c r="E42" i="1"/>
  <c r="D43" i="1"/>
  <c r="E43" i="1"/>
  <c r="B42" i="1"/>
  <c r="C42" i="1"/>
  <c r="D42" i="1"/>
  <c r="D45" i="1"/>
  <c r="C43" i="1"/>
  <c r="AA43" i="1" s="1"/>
  <c r="G13" i="1"/>
  <c r="G15" i="1" s="1"/>
  <c r="D28" i="1" s="1"/>
  <c r="H28" i="1" s="1"/>
  <c r="J42" i="4"/>
  <c r="I43" i="4"/>
  <c r="M42" i="4"/>
  <c r="E42" i="4"/>
  <c r="L42" i="4"/>
  <c r="F42" i="4"/>
  <c r="C42" i="4"/>
  <c r="K43" i="4"/>
  <c r="AA41" i="4"/>
  <c r="J43" i="4"/>
  <c r="H42" i="4"/>
  <c r="G13" i="4"/>
  <c r="G15" i="4" s="1"/>
  <c r="D28" i="4" s="1"/>
  <c r="H28" i="4" s="1"/>
  <c r="M44" i="4"/>
  <c r="L44" i="4"/>
  <c r="K44" i="4"/>
  <c r="J44" i="4"/>
  <c r="I44" i="4"/>
  <c r="H44" i="4"/>
  <c r="G44" i="4"/>
  <c r="F44" i="4"/>
  <c r="E44" i="4"/>
  <c r="D44" i="4"/>
  <c r="C44" i="4"/>
  <c r="L43" i="4"/>
  <c r="D42" i="4"/>
  <c r="M43" i="4"/>
  <c r="G42" i="4"/>
  <c r="I42" i="4"/>
  <c r="K42" i="4"/>
  <c r="B43" i="4"/>
  <c r="B45" i="4" s="1"/>
  <c r="C43" i="4"/>
  <c r="D43" i="4"/>
  <c r="E43" i="4"/>
  <c r="F43" i="4"/>
  <c r="G43" i="4"/>
  <c r="H43" i="4"/>
  <c r="B42" i="4"/>
  <c r="I45" i="4" l="1"/>
  <c r="B45" i="1"/>
  <c r="I50" i="1"/>
  <c r="D31" i="1"/>
  <c r="H31" i="1" s="1"/>
  <c r="D32" i="1"/>
  <c r="AA44" i="1"/>
  <c r="D30" i="1"/>
  <c r="E30" i="1" s="1"/>
  <c r="E45" i="1"/>
  <c r="C45" i="1"/>
  <c r="S50" i="1"/>
  <c r="D50" i="1"/>
  <c r="K50" i="1"/>
  <c r="U50" i="1"/>
  <c r="T50" i="1"/>
  <c r="C50" i="1"/>
  <c r="J50" i="1"/>
  <c r="Z50" i="1"/>
  <c r="L50" i="1"/>
  <c r="M50" i="1"/>
  <c r="N50" i="1"/>
  <c r="E28" i="1"/>
  <c r="F50" i="1"/>
  <c r="V50" i="1"/>
  <c r="P50" i="1"/>
  <c r="G50" i="1"/>
  <c r="Q50" i="1"/>
  <c r="H50" i="1"/>
  <c r="X50" i="1"/>
  <c r="B50" i="1"/>
  <c r="Y50" i="1"/>
  <c r="R50" i="1"/>
  <c r="E50" i="1"/>
  <c r="O50" i="1"/>
  <c r="W50" i="1"/>
  <c r="U50" i="4"/>
  <c r="M50" i="4"/>
  <c r="N50" i="4"/>
  <c r="O50" i="4"/>
  <c r="K45" i="4"/>
  <c r="F50" i="4"/>
  <c r="P50" i="4"/>
  <c r="V50" i="4"/>
  <c r="C50" i="4"/>
  <c r="S50" i="4"/>
  <c r="W50" i="4"/>
  <c r="H50" i="4"/>
  <c r="X50" i="4"/>
  <c r="Y50" i="4"/>
  <c r="E28" i="4"/>
  <c r="Q50" i="4"/>
  <c r="E50" i="4"/>
  <c r="G50" i="4"/>
  <c r="D50" i="4"/>
  <c r="T50" i="4"/>
  <c r="J45" i="4"/>
  <c r="I50" i="4"/>
  <c r="J50" i="4"/>
  <c r="Z50" i="4"/>
  <c r="K50" i="4"/>
  <c r="R50" i="4"/>
  <c r="L50" i="4"/>
  <c r="L45" i="4"/>
  <c r="E32" i="1"/>
  <c r="H32" i="1"/>
  <c r="G45" i="4"/>
  <c r="E45" i="4"/>
  <c r="F45" i="4"/>
  <c r="M45" i="4"/>
  <c r="D32" i="4"/>
  <c r="H32" i="4" s="1"/>
  <c r="D31" i="4"/>
  <c r="H31" i="4" s="1"/>
  <c r="D30" i="4"/>
  <c r="H30" i="4" s="1"/>
  <c r="H45" i="4"/>
  <c r="D45" i="4"/>
  <c r="C45" i="4"/>
  <c r="AA43" i="4"/>
  <c r="AA44" i="4"/>
  <c r="E31" i="1"/>
  <c r="B50" i="4"/>
  <c r="H30" i="1" l="1"/>
  <c r="AA45" i="1"/>
  <c r="D29" i="1"/>
  <c r="D29" i="4"/>
  <c r="A24" i="4" s="1"/>
  <c r="E31" i="4"/>
  <c r="AA45" i="4"/>
  <c r="E30" i="4"/>
  <c r="B34" i="4"/>
  <c r="F34" i="4" s="1"/>
  <c r="E32" i="4"/>
  <c r="H29" i="4" l="1"/>
  <c r="E29" i="4"/>
  <c r="E29" i="1"/>
  <c r="A24" i="1"/>
  <c r="H29" i="1"/>
  <c r="B34" i="1"/>
  <c r="L46" i="4"/>
  <c r="L47" i="4" s="1"/>
  <c r="K46" i="4"/>
  <c r="K47" i="4" s="1"/>
  <c r="J46" i="4"/>
  <c r="J47" i="4" s="1"/>
  <c r="I46" i="4"/>
  <c r="I47" i="4" s="1"/>
  <c r="H46" i="4"/>
  <c r="H47" i="4" s="1"/>
  <c r="G46" i="4"/>
  <c r="G47" i="4" s="1"/>
  <c r="F46" i="4"/>
  <c r="F47" i="4" s="1"/>
  <c r="E46" i="4"/>
  <c r="E47" i="4" s="1"/>
  <c r="D46" i="4"/>
  <c r="D47" i="4" s="1"/>
  <c r="C46" i="4"/>
  <c r="C47" i="4" s="1"/>
  <c r="B46" i="4"/>
  <c r="M46" i="4"/>
  <c r="M47" i="4" s="1"/>
  <c r="F46" i="1" l="1"/>
  <c r="F47" i="1" s="1"/>
  <c r="F34" i="1"/>
  <c r="D46" i="1"/>
  <c r="D47" i="1" s="1"/>
  <c r="E46" i="1"/>
  <c r="E47" i="1" s="1"/>
  <c r="E48" i="1" s="1"/>
  <c r="E49" i="1" s="1"/>
  <c r="E51" i="1" s="1"/>
  <c r="B46" i="1"/>
  <c r="B47" i="1" s="1"/>
  <c r="C46" i="1"/>
  <c r="C47" i="1" s="1"/>
  <c r="C48" i="1" s="1"/>
  <c r="C49" i="1" s="1"/>
  <c r="C51" i="1" s="1"/>
  <c r="B47" i="4"/>
  <c r="AA47" i="4" s="1"/>
  <c r="AA46" i="4"/>
  <c r="M48" i="4"/>
  <c r="M49" i="4" s="1"/>
  <c r="M51" i="4" s="1"/>
  <c r="H48" i="4"/>
  <c r="H49" i="4" s="1"/>
  <c r="H51" i="4" s="1"/>
  <c r="L48" i="4"/>
  <c r="L49" i="4" s="1"/>
  <c r="L51" i="4" s="1"/>
  <c r="J48" i="4"/>
  <c r="J49" i="4" s="1"/>
  <c r="J51" i="4" s="1"/>
  <c r="G48" i="4"/>
  <c r="G49" i="4" s="1"/>
  <c r="G51" i="4" s="1"/>
  <c r="F48" i="4"/>
  <c r="F49" i="4" s="1"/>
  <c r="F51" i="4" s="1"/>
  <c r="E48" i="4"/>
  <c r="E49" i="4" s="1"/>
  <c r="E51" i="4" s="1"/>
  <c r="K48" i="4"/>
  <c r="K49" i="4" s="1"/>
  <c r="K51" i="4" s="1"/>
  <c r="D48" i="4"/>
  <c r="D49" i="4" s="1"/>
  <c r="D51" i="4" s="1"/>
  <c r="I48" i="4"/>
  <c r="I49" i="4" s="1"/>
  <c r="I51" i="4" s="1"/>
  <c r="C48" i="4"/>
  <c r="C49" i="4" s="1"/>
  <c r="C51" i="4" s="1"/>
  <c r="B48" i="4" l="1"/>
  <c r="D48" i="1"/>
  <c r="D49" i="1" s="1"/>
  <c r="D51" i="1" s="1"/>
  <c r="AA46" i="1"/>
  <c r="F48" i="1"/>
  <c r="F49" i="1" s="1"/>
  <c r="F51" i="1" s="1"/>
  <c r="B48" i="1"/>
  <c r="AA47" i="1"/>
  <c r="AA48" i="4"/>
  <c r="B49" i="4"/>
  <c r="B51" i="4" s="1"/>
  <c r="AA51" i="4" s="1"/>
  <c r="B49" i="1" l="1"/>
  <c r="AA48" i="1"/>
  <c r="AA49" i="4"/>
  <c r="B51" i="1" l="1"/>
  <c r="AA51" i="1" s="1"/>
  <c r="AA4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VDI 2077 Blatt 3.5</author>
  </authors>
  <commentList>
    <comment ref="B18" authorId="0" shapeId="0" xr:uid="{00000000-0006-0000-0000-000001000000}">
      <text>
        <r>
          <rPr>
            <sz val="11"/>
            <color theme="1"/>
            <rFont val="Calibri"/>
            <family val="2"/>
            <scheme val="minor"/>
          </rPr>
          <t>Basisempfindlichkeit EB nach VDI 2077 Blatt 3.5 (Abschnitt 3.1 &amp; Anhang A):
Gibt an, wie viele Verbrauchseinheiten (VE) das Erfassungsgerät je Kilowattstunde (kWh) abgegebener Nutzwärme unter VDI-Referenzbedingungen zählt.
• Wichtiger Hinweis: Eigenständige Normgröße der VDI 2077 Blatt 3.5 (in DIN EN 834 nicht definiert!).
• Standardwert: 1,000 VE/kWh (früher 1,003 VE/kWh).
• Herstellerspezifisch: Variiert nach Fabrikat (siehe Tabellenblatt 'Basisempfindlichkeiten' / Tabelle A1, z. B. Techem 1,100; BFW 2,030; Qundis 1,076; Ista 0,950).</t>
        </r>
      </text>
    </comment>
    <comment ref="B19" authorId="0" shapeId="0" xr:uid="{00000000-0006-0000-0000-000002000000}">
      <text>
        <r>
          <rPr>
            <sz val="11"/>
            <color theme="1"/>
            <rFont val="Calibri"/>
            <family val="2"/>
            <scheme val="minor"/>
          </rPr>
          <t>Skalenfaktor f_SK nach VDI 2077 Blatt 3.5, Anhang C:
Berücksichtigt die herstellerseitige Programmierung der Anzeige bei Heizkostenverteilern. Hier kann jeder gerätespezifische Wert frei eingetragen werden:
• Produktskala (f_SK = 1,000 - Standard): Die Heizkörperleistung ist im Gerät fest programmiert; das Display zeigt direkt bewertete Verbrauchseinheiten an.
• Einheitsskala (häufig f_SK = 10,000 gem. Gl. C4 / K_Q,prog = 10): Alle Geräte sind einheitlich programmiert. Die Verzehnfachung der Anzeigeauflösung wird gewählt, um kleine Verbrauchswerte im Display besser ablesbar zu machen. Für die energetische Bilanzierung nach VDI 2077 wird dieser Wert neutralisiert.
• Individuelle Skalierung: Jeder herstellerspezifische Faktor kann nach Datenblatt eingetragen werden.</t>
        </r>
      </text>
    </comment>
    <comment ref="B20" authorId="0" shapeId="0" xr:uid="{00000000-0006-0000-0000-000003000000}">
      <text>
        <r>
          <rPr>
            <sz val="11"/>
            <color theme="1"/>
            <rFont val="Calibri"/>
            <family val="2"/>
            <scheme val="minor"/>
          </rPr>
          <t>Referenzsystem-Faktor f_KQ nach VDI 2077 Blatt 3.5, Anhang C:
Gleicht Unterschiede in den Auslegungstemperaturen von Heizkörpern aus:
• Referenzsystem Q60 (f_KQ = 1,000 - Standard): Frühere Normauslegung bei 90/70/20 °C (Übertemperatur 60 K nach DIN EN 834).
• Referenzsystem Q50 (f_KQ = 0,789): Moderne Auslegung bei 75/65/20 °C (Übertemperatur 50 K nach DIN EN 442). Hier zählen die Geräte langsamer. Der Faktor f_KQ = (50/60)^1,3 ≈ 0,789 gleicht diesen Zählminderstand in der Bilanz aus.</t>
        </r>
      </text>
    </comment>
    <comment ref="B21" authorId="0" shapeId="0" xr:uid="{00000000-0006-0000-0000-000004000000}">
      <text>
        <r>
          <rPr>
            <sz val="11"/>
            <color theme="1"/>
            <rFont val="Calibri"/>
            <family val="2"/>
            <scheme val="minor"/>
          </rPr>
          <t>Wirksamer Bewertungssystem-Faktor (f_SK × f_KQ):
Produkt beider Faktoren für die VDI-Bilanzgleichungen (Gl. 20–23).
Fasst alle Skalierungs- und Temperaturauslegungen für die Bilanzierung der Liegenschaft zusammen.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VDI 2077 Blatt 3.5</author>
  </authors>
  <commentList>
    <comment ref="B18" authorId="0" shapeId="0" xr:uid="{00000000-0006-0000-0300-000001000000}">
      <text>
        <r>
          <rPr>
            <sz val="11"/>
            <color theme="1"/>
            <rFont val="Calibri"/>
            <family val="2"/>
            <scheme val="minor"/>
          </rPr>
          <t>Basisempfindlichkeit EB nach VDI 2077 Blatt 3.5 (Abschnitt 3.1 &amp; Anhang A):
Gibt an, wie viele Verbrauchseinheiten (VE) das Erfassungsgerät je Kilowattstunde (kWh) abgegebener Nutzwärme unter VDI-Referenzbedingungen zählt.
• Wichtiger Hinweis: Eigenständige Normgröße der VDI 2077 Blatt 3.5 (in DIN EN 834 nicht definiert!).
• Standardwert: 1,000 VE/kWh (früher 1,003 VE/kWh).
• Herstellerspezifisch: Variiert nach Fabrikat (siehe Tabellenblatt 'Basisempfindlichkeiten' / Tabelle A1, z. B. Techem 1,100; BFW 2,030; Qundis 1,076; Ista 0,950).</t>
        </r>
      </text>
    </comment>
    <comment ref="B19" authorId="0" shapeId="0" xr:uid="{00000000-0006-0000-0300-000002000000}">
      <text>
        <r>
          <rPr>
            <sz val="11"/>
            <color theme="1"/>
            <rFont val="Calibri"/>
            <family val="2"/>
            <scheme val="minor"/>
          </rPr>
          <t>Skalenfaktor f_SK nach VDI 2077 Blatt 3.5, Anhang C:
Berücksichtigt die herstellerseitige Programmierung der Anzeige bei Heizkostenverteilern. Hier kann jeder gerätespezifische Wert frei eingetragen werden:
• Produktskala (f_SK = 1,000 - Standard): Die Heizkörperleistung ist im Gerät fest programmiert; das Display zeigt direkt bewertete Verbrauchseinheiten an.
• Einheitsskala (häufig f_SK = 10,000 gem. Gl. C4 / K_Q,prog = 10): Alle Geräte sind einheitlich programmiert. Die Verzehnfachung der Anzeigeauflösung wird gewählt, um kleine Verbrauchswerte im Display besser ablesbar zu machen. Für die energetische Bilanzierung nach VDI 2077 wird dieser Wert neutralisiert.
• Individuelle Skalierung: Jeder herstellerspezifische Faktor kann nach Datenblatt eingetragen werden.</t>
        </r>
      </text>
    </comment>
    <comment ref="B20" authorId="0" shapeId="0" xr:uid="{00000000-0006-0000-0300-000003000000}">
      <text>
        <r>
          <rPr>
            <sz val="11"/>
            <color theme="1"/>
            <rFont val="Calibri"/>
            <family val="2"/>
            <scheme val="minor"/>
          </rPr>
          <t>Referenzsystem-Faktor f_KQ nach VDI 2077 Blatt 3.5, Anhang C:
Gleicht Unterschiede in den Auslegungstemperaturen von Heizkörpern aus:
• Referenzsystem Q60 (f_KQ = 1,000 - Standard): Frühere Normauslegung bei 90/70/20 °C (Übertemperatur 60 K nach DIN EN 834).
• Referenzsystem Q50 (f_KQ = 0,789): Moderne Auslegung bei 75/65/20 °C (Übertemperatur 50 K nach DIN EN 442). Hier zählen die Geräte langsamer. Der Faktor f_KQ = (50/60)^1,3 ≈ 0,789 gleicht diesen Zählminderstand in der Bilanz aus.</t>
        </r>
      </text>
    </comment>
    <comment ref="B21" authorId="0" shapeId="0" xr:uid="{00000000-0006-0000-0300-000004000000}">
      <text>
        <r>
          <rPr>
            <sz val="11"/>
            <color theme="1"/>
            <rFont val="Calibri"/>
            <family val="2"/>
            <scheme val="minor"/>
          </rPr>
          <t>Wirksamer Bewertungssystem-Faktor (f_SK × f_KQ):
Produkt beider Faktoren für die VDI-Bilanzgleichungen (Gl. 20–23).
Fasst alle Skalierungs- und Temperaturauslegungen für die Bilanzierung der Liegenschaft zusammen.</t>
        </r>
      </text>
    </comment>
  </commentList>
</comments>
</file>

<file path=xl/sharedStrings.xml><?xml version="1.0" encoding="utf-8"?>
<sst xmlns="http://schemas.openxmlformats.org/spreadsheetml/2006/main" count="472" uniqueCount="332">
  <si>
    <t>Feststellung der Rohrwärmeabgabe nach VDI 2077 Blatt 3.5 (Ausgabe 2018-05 inkl. Berichtigung Juli 2018)</t>
  </si>
  <si>
    <t>Bilanzverfahren zur verursachungsgerechten Heizkostenabrechnung bei ungedämmten Rohrleitungen (§ 7 Abs. 1 S. 3 HeizkostenV)</t>
  </si>
  <si>
    <t>✎ EINGABEFELDER (hellblau hinterlegt): Hier Abrechnungsdaten eintragen.   |   🔒 BERECHNETE FELDER (weiß): Automatische Berechnung.   |   💬 HINWEISE: Rote Dreiecke an den Zellen bieten detaillierte Praxiserklärungen.</t>
  </si>
  <si>
    <t>1. Stammdaten Liegenschaft &amp; Kosten</t>
  </si>
  <si>
    <t>2. Berechnung Raumheizwärme Q_HW (nach VDI 2077 Blatt 3.5, § 5.2)</t>
  </si>
  <si>
    <r>
      <rPr>
        <sz val="10"/>
        <color rgb="FF1E293B"/>
        <rFont val="Calibri"/>
      </rPr>
      <t>Gesamt-Heizkosten der Liegenschaft (ohne Warmwasser) [€]:</t>
    </r>
  </si>
  <si>
    <r>
      <rPr>
        <sz val="10"/>
        <color rgb="FF1E293B"/>
        <rFont val="Calibri"/>
      </rPr>
      <t>Brennstoffart / Energieträger:</t>
    </r>
  </si>
  <si>
    <r>
      <rPr>
        <sz val="10"/>
        <color rgb="FF1E293B"/>
        <rFont val="Calibri"/>
      </rPr>
      <t>Grundkostenanteil (nach HeizkostenV, 30 % bis 50 %):</t>
    </r>
  </si>
  <si>
    <r>
      <rPr>
        <sz val="10"/>
        <color rgb="FF1E293B"/>
        <rFont val="Calibri"/>
      </rPr>
      <t>Eigener Heizkessel im Gebäude vorhanden?:</t>
    </r>
  </si>
  <si>
    <t>Ja</t>
  </si>
  <si>
    <r>
      <rPr>
        <sz val="10"/>
        <color rgb="FF1E293B"/>
        <rFont val="Calibri"/>
      </rPr>
      <t>Verbrauchskostenanteil (nach HeizkostenV, 50 % bis 70 %):</t>
    </r>
  </si>
  <si>
    <r>
      <rPr>
        <sz val="10"/>
        <color rgb="FF1E293B"/>
        <rFont val="Calibri"/>
      </rPr>
      <t>Gesamte gelieferte Brennstoffmenge / Endenergie [kWh]:</t>
    </r>
  </si>
  <si>
    <r>
      <rPr>
        <sz val="10"/>
        <color rgb="FF1E293B"/>
        <rFont val="Calibri"/>
      </rPr>
      <t>Grundkosten der Heizung [€]:</t>
    </r>
  </si>
  <si>
    <r>
      <rPr>
        <sz val="10"/>
        <color rgb="FF1E293B"/>
        <rFont val="Calibri"/>
      </rPr>
      <t>Wärmemenge Trinkwassererwärmung (Q</t>
    </r>
    <r>
      <rPr>
        <vertAlign val="subscript"/>
        <sz val="10"/>
        <color rgb="FF1E293B"/>
        <rFont val="Calibri"/>
      </rPr>
      <t>TW</t>
    </r>
    <r>
      <rPr>
        <sz val="10"/>
        <color rgb="FF1E293B"/>
        <rFont val="Calibri"/>
      </rPr>
      <t>) [kWh]:</t>
    </r>
  </si>
  <si>
    <r>
      <rPr>
        <sz val="10"/>
        <color rgb="FF1E293B"/>
        <rFont val="Calibri"/>
      </rPr>
      <t>Verbrauchskosten der Heizung [€]:</t>
    </r>
  </si>
  <si>
    <r>
      <rPr>
        <sz val="10"/>
        <color rgb="FF1E293B"/>
        <rFont val="Calibri"/>
      </rPr>
      <t>Netto-Wärmemenge (Gesamt abzgl. Warmwasser) [kWh]:</t>
    </r>
  </si>
  <si>
    <r>
      <rPr>
        <sz val="10"/>
        <color rgb="FF1E293B"/>
        <rFont val="Calibri"/>
      </rPr>
      <t>Gesamtwohnfläche der Liegenschaft (∑ A</t>
    </r>
    <r>
      <rPr>
        <vertAlign val="subscript"/>
        <sz val="10"/>
        <color rgb="FF1E293B"/>
        <rFont val="Calibri"/>
      </rPr>
      <t>j</t>
    </r>
    <r>
      <rPr>
        <sz val="10"/>
        <color rgb="FF1E293B"/>
        <rFont val="Calibri"/>
      </rPr>
      <t>) [m²]:</t>
    </r>
  </si>
  <si>
    <r>
      <rPr>
        <sz val="10"/>
        <color rgb="FF1E293B"/>
        <rFont val="Calibri"/>
      </rPr>
      <t>Brennwert-Korrekturfaktor (H</t>
    </r>
    <r>
      <rPr>
        <vertAlign val="subscript"/>
        <sz val="10"/>
        <color rgb="FF1E293B"/>
        <rFont val="Calibri"/>
      </rPr>
      <t>s</t>
    </r>
    <r>
      <rPr>
        <sz val="10"/>
        <color rgb="FF1E293B"/>
        <rFont val="Calibri"/>
      </rPr>
      <t xml:space="preserve"> / H</t>
    </r>
    <r>
      <rPr>
        <vertAlign val="subscript"/>
        <sz val="10"/>
        <color rgb="FF1E293B"/>
        <rFont val="Calibri"/>
      </rPr>
      <t>i</t>
    </r>
    <r>
      <rPr>
        <sz val="10"/>
        <color rgb="FF1E293B"/>
        <rFont val="Calibri"/>
      </rPr>
      <t>, Erdgas = 1,11):</t>
    </r>
  </si>
  <si>
    <r>
      <rPr>
        <sz val="10"/>
        <color rgb="FF1E293B"/>
        <rFont val="Calibri"/>
      </rPr>
      <t>Verbrauchseinheiten Liegenschaft gesamt (∑ z</t>
    </r>
    <r>
      <rPr>
        <vertAlign val="subscript"/>
        <sz val="10"/>
        <color rgb="FF1E293B"/>
        <rFont val="Calibri"/>
      </rPr>
      <t>j</t>
    </r>
    <r>
      <rPr>
        <sz val="10"/>
        <color rgb="FF1E293B"/>
        <rFont val="Calibri"/>
      </rPr>
      <t>) [VE]:</t>
    </r>
  </si>
  <si>
    <r>
      <rPr>
        <sz val="10"/>
        <color rgb="FF1E293B"/>
        <rFont val="Calibri"/>
      </rPr>
      <t>Nutzungsgrad Wärmeerzeuger (ν</t>
    </r>
    <r>
      <rPr>
        <vertAlign val="subscript"/>
        <sz val="10"/>
        <color rgb="FF1E293B"/>
        <rFont val="Calibri"/>
      </rPr>
      <t>HW</t>
    </r>
    <r>
      <rPr>
        <sz val="10"/>
        <color rgb="FF1E293B"/>
        <rFont val="Calibri"/>
      </rPr>
      <t xml:space="preserve"> gem. Anhang B):</t>
    </r>
  </si>
  <si>
    <r>
      <rPr>
        <sz val="10"/>
        <color rgb="FF1E293B"/>
        <rFont val="Calibri"/>
      </rPr>
      <t>Anzahl belegter Nutzeinheiten (Wohnungen):</t>
    </r>
  </si>
  <si>
    <r>
      <rPr>
        <sz val="10"/>
        <color rgb="FF1E293B"/>
        <rFont val="Calibri"/>
      </rPr>
      <t>Rechnerische Raumheizwärme aus Hilfsberechnung [kWh]:</t>
    </r>
  </si>
  <si>
    <r>
      <rPr>
        <sz val="10"/>
        <color rgb="FF1E293B"/>
        <rFont val="Calibri"/>
      </rPr>
      <t>ODER Direkteingabe Raumheizwärme Q</t>
    </r>
    <r>
      <rPr>
        <vertAlign val="subscript"/>
        <sz val="10"/>
        <color rgb="FF1E293B"/>
        <rFont val="Calibri"/>
      </rPr>
      <t>HW</t>
    </r>
    <r>
      <rPr>
        <sz val="10"/>
        <color rgb="FF1E293B"/>
        <rFont val="Calibri"/>
      </rPr>
      <t xml:space="preserve"> [kWh]:</t>
    </r>
  </si>
  <si>
    <t>(Überschreibt Hilfsberechnung bei Eintrag)</t>
  </si>
  <si>
    <r>
      <rPr>
        <b/>
        <sz val="10"/>
        <color rgb="FF1E293B"/>
        <rFont val="Calibri"/>
      </rPr>
      <t>Maßgebliche Raumheizwärme Q</t>
    </r>
    <r>
      <rPr>
        <b/>
        <vertAlign val="subscript"/>
        <sz val="10"/>
        <color rgb="FF1E293B"/>
        <rFont val="Calibri"/>
      </rPr>
      <t>HW</t>
    </r>
    <r>
      <rPr>
        <b/>
        <sz val="10"/>
        <color rgb="FF1E293B"/>
        <rFont val="Calibri"/>
      </rPr>
      <t xml:space="preserve"> für die Bilanzierung [kWh]:</t>
    </r>
  </si>
  <si>
    <t>(Automatisch aus F14 bzw. F13)</t>
  </si>
  <si>
    <t>3. Korrekturfaktoren nach VDI 2077 Blatt 3.5 (Anhang A &amp; C)</t>
  </si>
  <si>
    <r>
      <rPr>
        <sz val="10"/>
        <color rgb="FF1E293B"/>
        <rFont val="Calibri"/>
      </rPr>
      <t>Basisempfindlichkeit elektronischer HKV (E</t>
    </r>
    <r>
      <rPr>
        <vertAlign val="subscript"/>
        <sz val="10"/>
        <color rgb="FF1E293B"/>
        <rFont val="Calibri"/>
      </rPr>
      <t>B</t>
    </r>
    <r>
      <rPr>
        <sz val="10"/>
        <color rgb="FF1E293B"/>
        <rFont val="Calibri"/>
      </rPr>
      <t>) [VE/kWh]:</t>
    </r>
  </si>
  <si>
    <r>
      <rPr>
        <sz val="10"/>
        <color rgb="FF1E293B"/>
        <rFont val="Calibri"/>
      </rPr>
      <t>Skalenfaktor des Bewertungssystems (f</t>
    </r>
    <r>
      <rPr>
        <vertAlign val="subscript"/>
        <sz val="10"/>
        <color rgb="FF1E293B"/>
        <rFont val="Calibri"/>
      </rPr>
      <t>SK</t>
    </r>
    <r>
      <rPr>
        <sz val="10"/>
        <color rgb="FF1E293B"/>
        <rFont val="Calibri"/>
      </rPr>
      <t>):</t>
    </r>
  </si>
  <si>
    <r>
      <rPr>
        <sz val="10"/>
        <color rgb="FF1E293B"/>
        <rFont val="Calibri"/>
      </rPr>
      <t>Referenzsystem-Faktor (f</t>
    </r>
    <r>
      <rPr>
        <vertAlign val="subscript"/>
        <sz val="10"/>
        <color rgb="FF1E293B"/>
        <rFont val="Calibri"/>
      </rPr>
      <t>KQ</t>
    </r>
    <r>
      <rPr>
        <sz val="10"/>
        <color rgb="FF1E293B"/>
        <rFont val="Calibri"/>
      </rPr>
      <t>):</t>
    </r>
  </si>
  <si>
    <r>
      <rPr>
        <b/>
        <sz val="10"/>
        <color rgb="FF1E293B"/>
        <rFont val="Calibri"/>
      </rPr>
      <t>Wirksamer Bewertungssystem-Faktor (f</t>
    </r>
    <r>
      <rPr>
        <b/>
        <vertAlign val="subscript"/>
        <sz val="10"/>
        <color rgb="FF1E293B"/>
        <rFont val="Calibri"/>
      </rPr>
      <t>SK</t>
    </r>
    <r>
      <rPr>
        <b/>
        <sz val="10"/>
        <color rgb="FF1E293B"/>
        <rFont val="Calibri"/>
      </rPr>
      <t xml:space="preserve"> × f</t>
    </r>
    <r>
      <rPr>
        <b/>
        <vertAlign val="subscript"/>
        <sz val="10"/>
        <color rgb="FF1E293B"/>
        <rFont val="Calibri"/>
      </rPr>
      <t>KQ</t>
    </r>
    <r>
      <rPr>
        <b/>
        <sz val="10"/>
        <color rgb="FF1E293B"/>
        <rFont val="Calibri"/>
      </rPr>
      <t>):</t>
    </r>
  </si>
  <si>
    <t>4. Prüfergebnis &amp; Kriterien-Dashboard nach VDI 2077 Blatt 3.5</t>
  </si>
  <si>
    <t>Kriterium nach VDI 2077 Blatt 3.5</t>
  </si>
  <si>
    <t>Symbol</t>
  </si>
  <si>
    <t>VDI-Grenzwert / Kriterium</t>
  </si>
  <si>
    <t>Ermittelter Ist-Wert</t>
  </si>
  <si>
    <t>Bedeutung für die Liegenschaft / Erläuterung</t>
  </si>
  <si>
    <t>Status</t>
  </si>
  <si>
    <r>
      <rPr>
        <sz val="10"/>
        <color rgb="FF1E293B"/>
        <rFont val="Calibri"/>
      </rPr>
      <t>1. Heizerfassungsrate (Verbrauchswärmeanteil)</t>
    </r>
  </si>
  <si>
    <r>
      <rPr>
        <b/>
        <sz val="10"/>
        <color rgb="FF1E293B"/>
        <rFont val="Calibri"/>
      </rPr>
      <t>r</t>
    </r>
    <r>
      <rPr>
        <b/>
        <vertAlign val="subscript"/>
        <sz val="10"/>
        <color rgb="FF1E293B"/>
        <rFont val="Calibri"/>
      </rPr>
      <t>W</t>
    </r>
  </si>
  <si>
    <t>≤ 0,34</t>
  </si>
  <si>
    <r>
      <rPr>
        <sz val="10"/>
        <color rgb="FF1E293B"/>
        <rFont val="Calibri"/>
      </rPr>
      <t>2. Maximaler theoretischer Mehrbelastungsgrad</t>
    </r>
  </si>
  <si>
    <r>
      <rPr>
        <b/>
        <sz val="10"/>
        <color rgb="FF1E293B"/>
        <rFont val="Calibri"/>
      </rPr>
      <t>max(M</t>
    </r>
    <r>
      <rPr>
        <b/>
        <vertAlign val="subscript"/>
        <sz val="10"/>
        <color rgb="FF1E293B"/>
        <rFont val="Calibri"/>
      </rPr>
      <t>t</t>
    </r>
    <r>
      <rPr>
        <b/>
        <sz val="10"/>
        <color rgb="FF1E293B"/>
        <rFont val="Calibri"/>
      </rPr>
      <t>)</t>
    </r>
  </si>
  <si>
    <t>≥ 10,0 % (0,10)</t>
  </si>
  <si>
    <r>
      <rPr>
        <sz val="10"/>
        <color rgb="FF1E293B"/>
        <rFont val="Calibri"/>
      </rPr>
      <t>3. Standardabweichung der normierten Verbrauchswerte</t>
    </r>
  </si>
  <si>
    <r>
      <rPr>
        <b/>
        <sz val="10"/>
        <color rgb="FF1E293B"/>
        <rFont val="Calibri"/>
      </rPr>
      <t>S</t>
    </r>
    <r>
      <rPr>
        <b/>
        <vertAlign val="subscript"/>
        <sz val="10"/>
        <color rgb="FF1E293B"/>
        <rFont val="Calibri"/>
      </rPr>
      <t>v</t>
    </r>
  </si>
  <si>
    <t>≥ 0,85</t>
  </si>
  <si>
    <r>
      <rPr>
        <sz val="10"/>
        <color rgb="FF1E293B"/>
        <rFont val="Calibri"/>
      </rPr>
      <t>4. Median der normierten Verbrauchswerte</t>
    </r>
  </si>
  <si>
    <r>
      <rPr>
        <b/>
        <sz val="10"/>
        <color rgb="FF1E293B"/>
        <rFont val="Calibri"/>
      </rPr>
      <t>v̂</t>
    </r>
    <r>
      <rPr>
        <b/>
        <vertAlign val="subscript"/>
        <sz val="10"/>
        <color rgb="FF1E293B"/>
        <rFont val="Calibri"/>
      </rPr>
      <t>med</t>
    </r>
  </si>
  <si>
    <t>≤ 0,90</t>
  </si>
  <si>
    <r>
      <rPr>
        <sz val="10"/>
        <color rgb="FF1E293B"/>
        <rFont val="Calibri"/>
      </rPr>
      <t>5. Maximum der normierten Verbrauchswerte</t>
    </r>
  </si>
  <si>
    <r>
      <rPr>
        <b/>
        <sz val="10"/>
        <color rgb="FF1E293B"/>
        <rFont val="Calibri"/>
      </rPr>
      <t>v̂</t>
    </r>
    <r>
      <rPr>
        <b/>
        <vertAlign val="subscript"/>
        <sz val="10"/>
        <color rgb="FF1E293B"/>
        <rFont val="Calibri"/>
      </rPr>
      <t>max</t>
    </r>
  </si>
  <si>
    <t>≥ 3,00</t>
  </si>
  <si>
    <r>
      <rPr>
        <b/>
        <sz val="10"/>
        <color rgb="FF1E293B"/>
        <rFont val="Calibri"/>
      </rPr>
      <t>Zu korrigierende Rohrwärmeeinheiten Liegenschaft (∑ z</t>
    </r>
    <r>
      <rPr>
        <b/>
        <vertAlign val="subscript"/>
        <sz val="10"/>
        <color rgb="FF1E293B"/>
        <rFont val="Calibri"/>
      </rPr>
      <t>GW</t>
    </r>
    <r>
      <rPr>
        <b/>
        <sz val="10"/>
        <color rgb="FF1E293B"/>
        <rFont val="Calibri"/>
      </rPr>
      <t>) [VE]:</t>
    </r>
  </si>
  <si>
    <r>
      <rPr>
        <b/>
        <sz val="10"/>
        <color rgb="FF1E293B"/>
        <rFont val="Calibri"/>
      </rPr>
      <t>Korrigierte Gesamt-VE Liegenschaft (∑ z</t>
    </r>
    <r>
      <rPr>
        <b/>
        <vertAlign val="subscript"/>
        <sz val="10"/>
        <color rgb="FF1E293B"/>
        <rFont val="Calibri"/>
      </rPr>
      <t>j,korr</t>
    </r>
    <r>
      <rPr>
        <b/>
        <sz val="10"/>
        <color rgb="FF1E293B"/>
        <rFont val="Calibri"/>
      </rPr>
      <t>) [VE]:</t>
    </r>
  </si>
  <si>
    <t>5. Abrechnung der einzelnen Nutzeinheiten (Wohnungen 1 bis 25)</t>
  </si>
  <si>
    <r>
      <rPr>
        <b/>
        <sz val="10"/>
        <color rgb="FF1E293B"/>
        <rFont val="Calibri"/>
      </rPr>
      <t>Wohnung / Nutzeinheit Nr.</t>
    </r>
  </si>
  <si>
    <t>Summe / Kontrolle</t>
  </si>
  <si>
    <r>
      <rPr>
        <sz val="10"/>
        <color rgb="FF1E293B"/>
        <rFont val="Calibri"/>
      </rPr>
      <t>Bezeichnung / Mietername (optional)</t>
    </r>
  </si>
  <si>
    <t>Gebäude gesamt</t>
  </si>
  <si>
    <r>
      <rPr>
        <b/>
        <sz val="10"/>
        <color rgb="FF1E293B"/>
        <rFont val="Calibri"/>
      </rPr>
      <t>Wohnfläche (A</t>
    </r>
    <r>
      <rPr>
        <b/>
        <vertAlign val="subscript"/>
        <sz val="10"/>
        <color rgb="FF1E293B"/>
        <rFont val="Calibri"/>
      </rPr>
      <t>j</t>
    </r>
    <r>
      <rPr>
        <b/>
        <sz val="10"/>
        <color rgb="FF1E293B"/>
        <rFont val="Calibri"/>
      </rPr>
      <t>) [m²]:</t>
    </r>
  </si>
  <si>
    <r>
      <rPr>
        <b/>
        <sz val="10"/>
        <color rgb="FF1E293B"/>
        <rFont val="Calibri"/>
      </rPr>
      <t>Erfasste Verbrauchseinheiten (z</t>
    </r>
    <r>
      <rPr>
        <b/>
        <vertAlign val="subscript"/>
        <sz val="10"/>
        <color rgb="FF1E293B"/>
        <rFont val="Calibri"/>
      </rPr>
      <t>j</t>
    </r>
    <r>
      <rPr>
        <b/>
        <sz val="10"/>
        <color rgb="FF1E293B"/>
        <rFont val="Calibri"/>
      </rPr>
      <t>) [VE]:</t>
    </r>
  </si>
  <si>
    <r>
      <rPr>
        <sz val="10"/>
        <color rgb="FF1E293B"/>
        <rFont val="Calibri"/>
      </rPr>
      <t>Flächenbezogener Verbrauchswert (v</t>
    </r>
    <r>
      <rPr>
        <vertAlign val="subscript"/>
        <sz val="10"/>
        <color rgb="FF1E293B"/>
        <rFont val="Calibri"/>
      </rPr>
      <t>j</t>
    </r>
    <r>
      <rPr>
        <sz val="10"/>
        <color rgb="FF1E293B"/>
        <rFont val="Calibri"/>
      </rPr>
      <t xml:space="preserve"> = z</t>
    </r>
    <r>
      <rPr>
        <vertAlign val="subscript"/>
        <sz val="10"/>
        <color rgb="FF1E293B"/>
        <rFont val="Calibri"/>
      </rPr>
      <t>j</t>
    </r>
    <r>
      <rPr>
        <sz val="10"/>
        <color rgb="FF1E293B"/>
        <rFont val="Calibri"/>
      </rPr>
      <t xml:space="preserve"> / A</t>
    </r>
    <r>
      <rPr>
        <vertAlign val="subscript"/>
        <sz val="10"/>
        <color rgb="FF1E293B"/>
        <rFont val="Calibri"/>
      </rPr>
      <t>j</t>
    </r>
    <r>
      <rPr>
        <sz val="10"/>
        <color rgb="FF1E293B"/>
        <rFont val="Calibri"/>
      </rPr>
      <t>) [VE/m²]:</t>
    </r>
  </si>
  <si>
    <r>
      <rPr>
        <b/>
        <sz val="10"/>
        <color rgb="FF1E293B"/>
        <rFont val="Calibri"/>
      </rPr>
      <t>Normierter Verbrauchswert (v̂</t>
    </r>
    <r>
      <rPr>
        <b/>
        <vertAlign val="subscript"/>
        <sz val="10"/>
        <color rgb="FF1E293B"/>
        <rFont val="Calibri"/>
      </rPr>
      <t>j</t>
    </r>
    <r>
      <rPr>
        <b/>
        <sz val="10"/>
        <color rgb="FF1E293B"/>
        <rFont val="Calibri"/>
      </rPr>
      <t xml:space="preserve"> = v</t>
    </r>
    <r>
      <rPr>
        <b/>
        <vertAlign val="subscript"/>
        <sz val="10"/>
        <color rgb="FF1E293B"/>
        <rFont val="Calibri"/>
      </rPr>
      <t>j</t>
    </r>
    <r>
      <rPr>
        <b/>
        <sz val="10"/>
        <color rgb="FF1E293B"/>
        <rFont val="Calibri"/>
      </rPr>
      <t xml:space="preserve"> / v̄):</t>
    </r>
  </si>
  <si>
    <r>
      <rPr>
        <sz val="10"/>
        <color rgb="FF1E293B"/>
        <rFont val="Calibri"/>
      </rPr>
      <t>Grundkosten Heizung (anteilig Wohnfläche) [€]:</t>
    </r>
  </si>
  <si>
    <r>
      <rPr>
        <sz val="10"/>
        <color rgb="FF1E293B"/>
        <rFont val="Calibri"/>
      </rPr>
      <t>Verbrauchskosten OHNE Rohrwärmekorrektur [€]:</t>
    </r>
  </si>
  <si>
    <r>
      <rPr>
        <b/>
        <sz val="10"/>
        <color rgb="FF1E293B"/>
        <rFont val="Calibri"/>
      </rPr>
      <t>Gesamte Heizkosten OHNE Rohrwärmekorrektur [€]:</t>
    </r>
  </si>
  <si>
    <r>
      <rPr>
        <sz val="10"/>
        <color rgb="FF1E293B"/>
        <rFont val="Calibri"/>
      </rPr>
      <t>Zugewiesene Rohrwärmeeinheiten (z</t>
    </r>
    <r>
      <rPr>
        <vertAlign val="subscript"/>
        <sz val="10"/>
        <color rgb="FF1E293B"/>
        <rFont val="Calibri"/>
      </rPr>
      <t>GW,j</t>
    </r>
    <r>
      <rPr>
        <sz val="10"/>
        <color rgb="FF1E293B"/>
        <rFont val="Calibri"/>
      </rPr>
      <t>) [VE]:</t>
    </r>
  </si>
  <si>
    <r>
      <rPr>
        <b/>
        <sz val="10"/>
        <color rgb="FF1E293B"/>
        <rFont val="Calibri"/>
      </rPr>
      <t>Korrigierte Verbrauchseinheiten (z</t>
    </r>
    <r>
      <rPr>
        <b/>
        <vertAlign val="subscript"/>
        <sz val="10"/>
        <color rgb="FF1E293B"/>
        <rFont val="Calibri"/>
      </rPr>
      <t>j,korr</t>
    </r>
    <r>
      <rPr>
        <b/>
        <sz val="10"/>
        <color rgb="FF1E293B"/>
        <rFont val="Calibri"/>
      </rPr>
      <t>) [VE]:</t>
    </r>
  </si>
  <si>
    <r>
      <rPr>
        <sz val="10"/>
        <color rgb="FF1E293B"/>
        <rFont val="Calibri"/>
      </rPr>
      <t>Verbrauchskosten MIT Rohrwärmekorrektur [€]:</t>
    </r>
  </si>
  <si>
    <r>
      <rPr>
        <b/>
        <sz val="10"/>
        <color rgb="FF1E293B"/>
        <rFont val="Calibri"/>
      </rPr>
      <t>Gesamte Heizkosten MIT Rohrwärmekorrektur [€]:</t>
    </r>
  </si>
  <si>
    <r>
      <rPr>
        <b/>
        <sz val="10"/>
        <color rgb="FF1E293B"/>
        <rFont val="Calibri"/>
      </rPr>
      <t>Theoretischer Mehrbelastungsgrad (M</t>
    </r>
    <r>
      <rPr>
        <b/>
        <vertAlign val="subscript"/>
        <sz val="10"/>
        <color rgb="FF1E293B"/>
        <rFont val="Calibri"/>
      </rPr>
      <t>t,j</t>
    </r>
    <r>
      <rPr>
        <b/>
        <sz val="10"/>
        <color rgb="FF1E293B"/>
        <rFont val="Calibri"/>
      </rPr>
      <t>) [%]:</t>
    </r>
  </si>
  <si>
    <t>Kontrolle: 0,00 €</t>
  </si>
  <si>
    <r>
      <rPr>
        <b/>
        <sz val="10"/>
        <color rgb="FF1E293B"/>
        <rFont val="Calibri"/>
      </rPr>
      <t>Kostenänderung durch Korrektur (Entlastung / Mehrkosten) [€]:</t>
    </r>
  </si>
  <si>
    <t>Tabelle A1 aus VDI 2077 Blatt 3.5 (Ausgabe Mai 2018)</t>
  </si>
  <si>
    <t>Basisempfindlichkeiten EB für logarithmische Heizkörperübertemperatur von 35 K und Heizkörperexponent 1,30</t>
  </si>
  <si>
    <t>Anbieter (Hersteller)</t>
  </si>
  <si>
    <t>Gerätemodell</t>
  </si>
  <si>
    <t>Einfühlergeräte [VE/kWh]</t>
  </si>
  <si>
    <t>Zweifühlergeräte [VE/kWh]</t>
  </si>
  <si>
    <t>Anmerkungen / Zulassung</t>
  </si>
  <si>
    <t>Allmess / Itron</t>
  </si>
  <si>
    <t>EquaScan eHCA</t>
  </si>
  <si>
    <t>BFW (van Hoffs / Jovani-Wendt)</t>
  </si>
  <si>
    <t>110E</t>
  </si>
  <si>
    <t>240E</t>
  </si>
  <si>
    <t>Brunata-Metrona</t>
  </si>
  <si>
    <t>TELMETRIC plus</t>
  </si>
  <si>
    <t>—</t>
  </si>
  <si>
    <t>Nur als Zweifühlergerät</t>
  </si>
  <si>
    <t>TELMETRIC star</t>
  </si>
  <si>
    <t>Engelmann Sensor</t>
  </si>
  <si>
    <t>HCAe2</t>
  </si>
  <si>
    <t>Ista</t>
  </si>
  <si>
    <t>doprimo 3 radio / net</t>
  </si>
  <si>
    <t>Kundo / Qundis</t>
  </si>
  <si>
    <t>caloric 5 / 5.5</t>
  </si>
  <si>
    <t>Minol Messtechnik</t>
  </si>
  <si>
    <t>Minometer M6 / M7</t>
  </si>
  <si>
    <t>Minometer radio 3</t>
  </si>
  <si>
    <t>Qundis</t>
  </si>
  <si>
    <t>caloric 5.5 AL2</t>
  </si>
  <si>
    <t>caloric 5.5 AL3</t>
  </si>
  <si>
    <t>caloric 5.5 AL4</t>
  </si>
  <si>
    <t>Sontex</t>
  </si>
  <si>
    <t>501 / 502 / 551 / 552</t>
  </si>
  <si>
    <t>Nur als Einfühlergerät</t>
  </si>
  <si>
    <t>555 / 556</t>
  </si>
  <si>
    <t>555X / 556X</t>
  </si>
  <si>
    <t>565 / 566 / 868</t>
  </si>
  <si>
    <t>565X / 566X / 868X</t>
  </si>
  <si>
    <t>Techem Energy Services</t>
  </si>
  <si>
    <t>EHKV 90</t>
  </si>
  <si>
    <t>twin-tech data</t>
  </si>
  <si>
    <t>EHKV optica</t>
  </si>
  <si>
    <t>FHKV data</t>
  </si>
  <si>
    <t>FHKV data II</t>
  </si>
  <si>
    <t>FHKV data III</t>
  </si>
  <si>
    <t>FHKV radio 4 / vario 4</t>
  </si>
  <si>
    <t>Tabelle B1 aus VDI 2077 Blatt 3.5 (Anhang B) — Nutzungsgrade und Arbeitszahlen</t>
  </si>
  <si>
    <t>Wärmeerzeuger / Brennstoff</t>
  </si>
  <si>
    <t>Nutzungsgrad Trinkwasser (ν_TW)</t>
  </si>
  <si>
    <t>Nutzungsgrad Raumheizung (ν_HW)</t>
  </si>
  <si>
    <t>Bemerkung</t>
  </si>
  <si>
    <t>Wärmelieferung / Fernwärme / Wärmeabrechnung</t>
  </si>
  <si>
    <t>Direkte Nutzwärme, keine Erzeugungsverluste</t>
  </si>
  <si>
    <t>Heizkessel Öl oder Gas (Standard)</t>
  </si>
  <si>
    <t>Vorgabewert gem. VDI 2077</t>
  </si>
  <si>
    <t>Pelletfeuerung</t>
  </si>
  <si>
    <t>Holzpellets gem. Tabelle B1</t>
  </si>
  <si>
    <t>Stückholzfeuerung</t>
  </si>
  <si>
    <t>Scheitholz gem. Tabelle B1</t>
  </si>
  <si>
    <t>Elektrodirektheizung</t>
  </si>
  <si>
    <t>Stromdirektheizung</t>
  </si>
  <si>
    <t>Wärmepumpe Sole/Wasser oder Wasser/Wasser</t>
  </si>
  <si>
    <t>Arbeitszahl bei Heizkörperbetrieb</t>
  </si>
  <si>
    <t>Wärmepumpe Luft/Wasser</t>
  </si>
  <si>
    <t>Abkürzungs- und Gleichungsverzeichnis nach VDI 2077 Blatt 3.5</t>
  </si>
  <si>
    <t>Übersicht aller Formelzeichen, Einheiten, Rechenvorschriften und laienverständlicher Definitionen (§ 7 Abs. 1 S. 3 HeizkostenV)</t>
  </si>
  <si>
    <t>1. Abkürzungsverzeichnis &amp; Formelzeichen</t>
  </si>
  <si>
    <t>Formelzeichen</t>
  </si>
  <si>
    <t>Normbezeichnung</t>
  </si>
  <si>
    <t>Einheit</t>
  </si>
  <si>
    <t>Kurzbezeichnung</t>
  </si>
  <si>
    <t>Verbrauchswärmeanteil</t>
  </si>
  <si>
    <t>–</t>
  </si>
  <si>
    <t>Heizerfassungsrate</t>
  </si>
  <si>
    <t>Verbrauchswärmeanteil (Heizerfassungsrate): Gibt an, welcher Anteil der Raumheizwärme tatsächlich über die Heizkostenverteiler an den Heizkörpern erfasst wird (z. B. 0,25 = 25 %).</t>
  </si>
  <si>
    <r>
      <rPr>
        <b/>
        <sz val="10"/>
        <color rgb="FF1E293B"/>
        <rFont val="Calibri"/>
      </rPr>
      <t>r</t>
    </r>
    <r>
      <rPr>
        <b/>
        <vertAlign val="subscript"/>
        <sz val="10"/>
        <color rgb="FF1E293B"/>
        <rFont val="Calibri"/>
      </rPr>
      <t>W,krit</t>
    </r>
  </si>
  <si>
    <t>Kritischer Verbrauchswärmeanteil</t>
  </si>
  <si>
    <t>Eingangsschwelle (0,34)</t>
  </si>
  <si>
    <t>Kritischer Verbrauchswärmeanteil (Eingangsschwelle 0,34): Liegt rW ≤ 0,34, entweichen mindestens 20 % der Raumheizwärme ungemessen über die Leitungen; erst ab dieser Schwelle ist eine Rohrwärmekorrektur zulässig.</t>
  </si>
  <si>
    <r>
      <rPr>
        <b/>
        <sz val="10"/>
        <color rgb="FF1E293B"/>
        <rFont val="Calibri"/>
      </rPr>
      <t>r</t>
    </r>
    <r>
      <rPr>
        <b/>
        <vertAlign val="subscript"/>
        <sz val="10"/>
        <color rgb="FF1E293B"/>
        <rFont val="Calibri"/>
      </rPr>
      <t>W,korr</t>
    </r>
  </si>
  <si>
    <t>Korrektur-Verbrauchswärmeanteil</t>
  </si>
  <si>
    <t>Rechenanker (0,43)</t>
  </si>
  <si>
    <t>Korrektur-Verbrauchswärmeanteil (Rechenanker 0,43): Normativer Zielwert. Liegenschaften ab 0,43 weisen keine wesentliche Rohrwärme auf. Dient als Rechenanker zur Ermittlung der Rohrwärme (0,43 - rW).</t>
  </si>
  <si>
    <r>
      <rPr>
        <b/>
        <sz val="10"/>
        <color rgb="FF1E293B"/>
        <rFont val="Calibri"/>
      </rPr>
      <t>M</t>
    </r>
    <r>
      <rPr>
        <b/>
        <vertAlign val="subscript"/>
        <sz val="10"/>
        <color rgb="FF1E293B"/>
        <rFont val="Calibri"/>
      </rPr>
      <t>t</t>
    </r>
  </si>
  <si>
    <t>Theoretischer Mehrbelastungsgrad</t>
  </si>
  <si>
    <t>– bzw. %</t>
  </si>
  <si>
    <t>Kostenfehllast</t>
  </si>
  <si>
    <t>Theoretischer Mehrbelastungsgrad: Gibt für jeden Nutzer an, um wie viel Prozent seine Heizkosten ohne Korrektur höher ausfallen als bei einer gerechten Abrechnung nach VDI 2077 (positive Werte = Mehrbelastung).</t>
  </si>
  <si>
    <t>Maximaler Mehrbelastungsgrad</t>
  </si>
  <si>
    <t>Erheblichkeitsschwelle (10 %)</t>
  </si>
  <si>
    <t>Maximaler Mehrbelastungsgrad (Erheblichkeitsschwelle 10 %): Höchste individuelle Kostenüberlastung im Gebäude. Muss mindestens 10 % betragen, da eine Korrektur nach BGH (VIII ZR 107/16) und VDI 2077 sonst rechtlich unzulässig ist.</t>
  </si>
  <si>
    <t>Empirische Standardabweichung</t>
  </si>
  <si>
    <t>Verbrauchsspreizung</t>
  </si>
  <si>
    <t>Empirische Standardabweichung (Verbrauchsspreizung): Statistisches Maß für die Ungleichmäßigkeit der Verbräuche im Haus. Ein Wert von ≥ 0,85 belegt eine extrem hohe, korrekturbedürftige Verbrauchsspreizung.</t>
  </si>
  <si>
    <t>Median normierter Verbrauch</t>
  </si>
  <si>
    <t>Zentralwert (50-%-Marke)</t>
  </si>
  <si>
    <t>Median des normierten Verbrauchs (Zentralwert): Verbrauchswert der mittleren Wohnung. Liegt er bei ≤ 0,90, heizt die Mehrheit der Wohnungen passiv über ungedämmte Rohrleitungen (Hilfskriterium bei Sv &lt; 0,85).</t>
  </si>
  <si>
    <t>Maximaler normierter Verbrauch</t>
  </si>
  <si>
    <t>Spitzenverbrauch</t>
  </si>
  <si>
    <t>Maximaler normierter Verbrauch (Spitzenwert): Höchster relativer Verbrauch im Haus. Ein Wert ≥ 3,00 belegt, dass der Spitzenheizer mindestens das Dreifache des Gebäudeschnitts verbraucht (Hilfskriterium bei Sv &lt; 0,85).</t>
  </si>
  <si>
    <r>
      <rPr>
        <b/>
        <sz val="10"/>
        <color rgb="FF1E293B"/>
        <rFont val="Calibri"/>
      </rPr>
      <t>v</t>
    </r>
    <r>
      <rPr>
        <b/>
        <vertAlign val="subscript"/>
        <sz val="10"/>
        <color rgb="FF1E293B"/>
        <rFont val="Calibri"/>
      </rPr>
      <t>j</t>
    </r>
  </si>
  <si>
    <t>Flächenbezogener Verbrauchswert</t>
  </si>
  <si>
    <t>VE/m²</t>
  </si>
  <si>
    <t>Spezifischer Verbrauch</t>
  </si>
  <si>
    <t>Flächenbezogener Verbrauchswert: Die an den Heizkörpern der Wohnung j erfassten Verbrauchseinheiten geteilt durch ihre Wohnfläche (zj / Aj). Macht Wohnungen unterschiedlicher Größe vergleichbar.</t>
  </si>
  <si>
    <r>
      <rPr>
        <b/>
        <sz val="10"/>
        <color rgb="FF1E293B"/>
        <rFont val="Calibri"/>
      </rPr>
      <t>v̄</t>
    </r>
  </si>
  <si>
    <t>Mittlerer flächenbezogener Verbrauch</t>
  </si>
  <si>
    <t>Gebäudedurchschnitt</t>
  </si>
  <si>
    <t>Mittlerer flächenbezogener Verbrauch: Ungewichteter arithmetischer Mittelwert der flächenbezogenen Verbrauchswerte aller Wohnungen (1/n · ∑ vj). Dient als Bezugsgröße für die Normierung gem. Gl. (6).</t>
  </si>
  <si>
    <r>
      <rPr>
        <b/>
        <sz val="10"/>
        <color rgb="FF1E293B"/>
        <rFont val="Calibri"/>
      </rPr>
      <t>v̂</t>
    </r>
    <r>
      <rPr>
        <b/>
        <vertAlign val="subscript"/>
        <sz val="10"/>
        <color rgb="FF1E293B"/>
        <rFont val="Calibri"/>
      </rPr>
      <t>j</t>
    </r>
  </si>
  <si>
    <t>Normierter Verbrauchswert</t>
  </si>
  <si>
    <t>Relativer Verbrauch</t>
  </si>
  <si>
    <t>Normierter Verbrauchswert: Relativer Verbrauch der Wohnung bezogen auf den Liegenschaftsdurchschnitt (vj / v̄). 1,00 entspricht exakt dem Gebäudedurchschnitt.</t>
  </si>
  <si>
    <r>
      <rPr>
        <b/>
        <sz val="10"/>
        <color rgb="FF1E293B"/>
        <rFont val="Calibri"/>
      </rPr>
      <t>E</t>
    </r>
    <r>
      <rPr>
        <b/>
        <vertAlign val="subscript"/>
        <sz val="10"/>
        <color rgb="FF1E293B"/>
        <rFont val="Calibri"/>
      </rPr>
      <t>B</t>
    </r>
  </si>
  <si>
    <t>Basisempfindlichkeit</t>
  </si>
  <si>
    <t>VE/kWh</t>
  </si>
  <si>
    <t>Gerätezählrate</t>
  </si>
  <si>
    <r>
      <rPr>
        <b/>
        <sz val="10"/>
        <color rgb="FF1E293B"/>
        <rFont val="Calibri"/>
      </rPr>
      <t>f</t>
    </r>
    <r>
      <rPr>
        <b/>
        <vertAlign val="subscript"/>
        <sz val="10"/>
        <color rgb="FF1E293B"/>
        <rFont val="Calibri"/>
      </rPr>
      <t>SK</t>
    </r>
  </si>
  <si>
    <t>Skalenfaktor</t>
  </si>
  <si>
    <t>Anzeigeskalierung</t>
  </si>
  <si>
    <r>
      <rPr>
        <b/>
        <sz val="10"/>
        <color rgb="FF1E293B"/>
        <rFont val="Calibri"/>
      </rPr>
      <t>f</t>
    </r>
    <r>
      <rPr>
        <b/>
        <vertAlign val="subscript"/>
        <sz val="10"/>
        <color rgb="FF1E293B"/>
        <rFont val="Calibri"/>
      </rPr>
      <t>KQ</t>
    </r>
  </si>
  <si>
    <t>Referenzsystem-Faktor</t>
  </si>
  <si>
    <t>Temperaturkorrektur</t>
  </si>
  <si>
    <t>Referenzsystem-Faktor (Temperaturkorrektur): 1,0 bei Auslegung nach Q60 (90/70 °C); ca. 0,789 bei moderner Niedertemperatur-Auslegung nach Q50 (75/65 °C gem. DIN EN 442).</t>
  </si>
  <si>
    <r>
      <rPr>
        <b/>
        <sz val="10"/>
        <color rgb="FF1E293B"/>
        <rFont val="Calibri"/>
      </rPr>
      <t>f</t>
    </r>
    <r>
      <rPr>
        <b/>
        <vertAlign val="subscript"/>
        <sz val="10"/>
        <color rgb="FF1E293B"/>
        <rFont val="Calibri"/>
      </rPr>
      <t>SK</t>
    </r>
    <r>
      <rPr>
        <b/>
        <sz val="10"/>
        <color rgb="FF1E293B"/>
        <rFont val="Calibri"/>
      </rPr>
      <t xml:space="preserve"> × f</t>
    </r>
    <r>
      <rPr>
        <b/>
        <vertAlign val="subscript"/>
        <sz val="10"/>
        <color rgb="FF1E293B"/>
        <rFont val="Calibri"/>
      </rPr>
      <t>KQ</t>
    </r>
  </si>
  <si>
    <t>Bewertungssystem-Faktor</t>
  </si>
  <si>
    <t>Gesamtfaktor Skalierung</t>
  </si>
  <si>
    <t>Bewertungssystem-Faktor: Produkt aus Skalierungsfaktor (fSK) und Temperatur-Referenzfaktor (fKQ), das alle Besonderheiten der Messgeräteauslegung in der Energiebilanz zusammenfasst.</t>
  </si>
  <si>
    <r>
      <rPr>
        <b/>
        <sz val="10"/>
        <color rgb="FF1E293B"/>
        <rFont val="Calibri"/>
      </rPr>
      <t>Q</t>
    </r>
    <r>
      <rPr>
        <b/>
        <vertAlign val="subscript"/>
        <sz val="10"/>
        <color rgb="FF1E293B"/>
        <rFont val="Calibri"/>
      </rPr>
      <t>HW</t>
    </r>
  </si>
  <si>
    <t>Raumheizwärme</t>
  </si>
  <si>
    <t>kWh</t>
  </si>
  <si>
    <t>Reine Heizwärme</t>
  </si>
  <si>
    <t>Raumheizwärme: Thermische Nutzwärme, die dem Heizungsnetz des Gebäudes nach der Erzeugung zugeführt wird (ohne Warmwasserbereitung und ohne Kessel-/Erzeugungsverluste).</t>
  </si>
  <si>
    <r>
      <rPr>
        <b/>
        <sz val="10"/>
        <color rgb="FF1E293B"/>
        <rFont val="Calibri"/>
      </rPr>
      <t>Q</t>
    </r>
    <r>
      <rPr>
        <b/>
        <vertAlign val="subscript"/>
        <sz val="10"/>
        <color rgb="FF1E293B"/>
        <rFont val="Calibri"/>
      </rPr>
      <t>TW</t>
    </r>
  </si>
  <si>
    <t>Trinkwasserwärme</t>
  </si>
  <si>
    <t>Warmwasserenergie</t>
  </si>
  <si>
    <t>Trinkwasserwärme: Wärmeenergie für die zentrale Warmwasserbereitung, die nach § 9 Abs. 2 HeizkostenV vorrangig über einen separaten Wärmemengenzähler zu erfassen ist.</t>
  </si>
  <si>
    <r>
      <rPr>
        <b/>
        <sz val="10"/>
        <color rgb="FF1E293B"/>
        <rFont val="Calibri"/>
      </rPr>
      <t>Q</t>
    </r>
    <r>
      <rPr>
        <b/>
        <vertAlign val="subscript"/>
        <sz val="10"/>
        <color rgb="FF1E293B"/>
        <rFont val="Calibri"/>
      </rPr>
      <t>GW</t>
    </r>
  </si>
  <si>
    <t>Grundverbrauchswärme</t>
  </si>
  <si>
    <t>Rohrwärme der Liegenschaft</t>
  </si>
  <si>
    <t>Grundverbrauchswärme (Rohrwärme): Messtechnisch von den Heizkostenverteilern nicht erfasste Nutzwärme, die ungedämmte Rohrleitungen unkontrolliert an die Wohnungen abgeben.</t>
  </si>
  <si>
    <r>
      <rPr>
        <b/>
        <sz val="10"/>
        <color rgb="FF1E293B"/>
        <rFont val="Calibri"/>
      </rPr>
      <t>z</t>
    </r>
    <r>
      <rPr>
        <b/>
        <vertAlign val="subscript"/>
        <sz val="10"/>
        <color rgb="FF1E293B"/>
        <rFont val="Calibri"/>
      </rPr>
      <t>j</t>
    </r>
  </si>
  <si>
    <t>Erfasste Verbrauchseinheiten</t>
  </si>
  <si>
    <t>VE</t>
  </si>
  <si>
    <t>Gemessene Einheiten</t>
  </si>
  <si>
    <t>Erfasste Verbrauchseinheiten (Wohnung): Summe der an den Heizkörpern der Wohnung j von den Heizkostenverteilern im Abrechnungsjahr registrierten und bewerteten Einheiten.</t>
  </si>
  <si>
    <r>
      <rPr>
        <b/>
        <sz val="10"/>
        <color rgb="FF1E293B"/>
        <rFont val="Calibri"/>
      </rPr>
      <t>∑ z</t>
    </r>
    <r>
      <rPr>
        <b/>
        <vertAlign val="subscript"/>
        <sz val="10"/>
        <color rgb="FF1E293B"/>
        <rFont val="Calibri"/>
      </rPr>
      <t>j</t>
    </r>
  </si>
  <si>
    <t>Verbrauchseinheiten Liegenschaft</t>
  </si>
  <si>
    <t>Gesamteinheiten gemessen</t>
  </si>
  <si>
    <t>Gemessene Gesamteinheiten (Liegenschaft): Summe aller an den Heizkörpern sämtlicher Wohnungen des Gebäudes im Abrechnungsjahr erfassten Verbrauchseinheiten.</t>
  </si>
  <si>
    <r>
      <rPr>
        <b/>
        <sz val="10"/>
        <color rgb="FF1E293B"/>
        <rFont val="Calibri"/>
      </rPr>
      <t>z</t>
    </r>
    <r>
      <rPr>
        <b/>
        <vertAlign val="subscript"/>
        <sz val="10"/>
        <color rgb="FF1E293B"/>
        <rFont val="Calibri"/>
      </rPr>
      <t>GW,j</t>
    </r>
  </si>
  <si>
    <t>Zugewiesene Rohrwärmeeinheiten</t>
  </si>
  <si>
    <t>Rohrwärme-Zuschlag</t>
  </si>
  <si>
    <t>Zugewiesene Rohrwärmeeinheiten (Wohnung): Zusätzliche Abrechnungseinheiten, die der Wohnung j für ungemessene Rohrwärme (in der Regel proportional zur Wohnfläche) zugewiesen werden.</t>
  </si>
  <si>
    <r>
      <rPr>
        <b/>
        <sz val="10"/>
        <color rgb="FF1E293B"/>
        <rFont val="Calibri"/>
      </rPr>
      <t>∑ z</t>
    </r>
    <r>
      <rPr>
        <b/>
        <vertAlign val="subscript"/>
        <sz val="10"/>
        <color rgb="FF1E293B"/>
        <rFont val="Calibri"/>
      </rPr>
      <t>GW</t>
    </r>
  </si>
  <si>
    <t>Gesamte Rohrwärmeeinheiten</t>
  </si>
  <si>
    <t>Gesamte Rohrwärme-VE</t>
  </si>
  <si>
    <t>Gesamte Rohrwärmeeinheiten (Liegenschaft): Die im Bilanzverfahren nach VDI 2077 ermittelte ungemessene Rohrwärme des gesamten Gebäudes, umgerechnet in zusätzliche Abrechnungseinheiten.</t>
  </si>
  <si>
    <r>
      <rPr>
        <b/>
        <sz val="10"/>
        <color rgb="FF1E293B"/>
        <rFont val="Calibri"/>
      </rPr>
      <t>z</t>
    </r>
    <r>
      <rPr>
        <b/>
        <vertAlign val="subscript"/>
        <sz val="10"/>
        <color rgb="FF1E293B"/>
        <rFont val="Calibri"/>
      </rPr>
      <t>j,korr</t>
    </r>
  </si>
  <si>
    <t>Korrigierte Verbrauchseinheiten</t>
  </si>
  <si>
    <t>Abrechnungseinheiten Nutzer</t>
  </si>
  <si>
    <t>Korrigierte Verbrauchseinheiten (Wohnung): Neue Bemessungsgrundlage für die Heizkostenabrechnung der Wohnung; Summe aus erfassten Heizkörpereinheiten und Rohrwärmeeinheiten (zj + zGW,j).</t>
  </si>
  <si>
    <r>
      <rPr>
        <b/>
        <sz val="10"/>
        <color rgb="FF1E293B"/>
        <rFont val="Calibri"/>
      </rPr>
      <t>∑ z</t>
    </r>
    <r>
      <rPr>
        <b/>
        <vertAlign val="subscript"/>
        <sz val="10"/>
        <color rgb="FF1E293B"/>
        <rFont val="Calibri"/>
      </rPr>
      <t>j,korr</t>
    </r>
  </si>
  <si>
    <t>Korrigierte Gesamt-VE</t>
  </si>
  <si>
    <t>Gesamte Abrechnungseinheiten</t>
  </si>
  <si>
    <t>Korrigierte Gesamteinheiten (Liegenschaft): Neuer Gesamtnenner zur Verteilung der Verbrauchskosten im Gebäude; Summe aller gemessenen Einheiten zuzüglich der bilanzierten Rohrwärme.</t>
  </si>
  <si>
    <r>
      <rPr>
        <b/>
        <sz val="10"/>
        <color rgb="FF1E293B"/>
        <rFont val="Calibri"/>
      </rPr>
      <t>A</t>
    </r>
    <r>
      <rPr>
        <b/>
        <vertAlign val="subscript"/>
        <sz val="10"/>
        <color rgb="FF1E293B"/>
        <rFont val="Calibri"/>
      </rPr>
      <t>j</t>
    </r>
  </si>
  <si>
    <t>Wohnfläche Nutzeinheit</t>
  </si>
  <si>
    <t>m²</t>
  </si>
  <si>
    <t>Wohnungsfläche</t>
  </si>
  <si>
    <t>Wohn- bzw. Nutzfläche der Wohnung: Beheizbare Fläche der Nutzeinheit j; dient als gesetzlicher Schlüssel für die Grundkosten und für die Zuweisung der Rohrwärme.</t>
  </si>
  <si>
    <r>
      <rPr>
        <b/>
        <sz val="10"/>
        <color rgb="FF1E293B"/>
        <rFont val="Calibri"/>
      </rPr>
      <t>∑ A</t>
    </r>
    <r>
      <rPr>
        <b/>
        <vertAlign val="subscript"/>
        <sz val="10"/>
        <color rgb="FF1E293B"/>
        <rFont val="Calibri"/>
      </rPr>
      <t>j</t>
    </r>
  </si>
  <si>
    <t>Gesamtwohnfläche</t>
  </si>
  <si>
    <t>Gebäudefläche</t>
  </si>
  <si>
    <t>Gesamtwohnfläche der Liegenschaft: Summe aller Wohn- und Nutzflächen des Gebäudes; bildet die Bezugsbasis für Grundkosten und Rohrwärmeverteilung.</t>
  </si>
  <si>
    <r>
      <rPr>
        <b/>
        <sz val="10"/>
        <color rgb="FF1E293B"/>
        <rFont val="Calibri"/>
      </rPr>
      <t>ν</t>
    </r>
    <r>
      <rPr>
        <b/>
        <vertAlign val="subscript"/>
        <sz val="10"/>
        <color rgb="FF1E293B"/>
        <rFont val="Calibri"/>
      </rPr>
      <t>HW</t>
    </r>
  </si>
  <si>
    <t>Nutzungsgrad Raumheizung</t>
  </si>
  <si>
    <t>Kesselwirkungsgrad</t>
  </si>
  <si>
    <t>Jahresnutzungsgrad Raumheizung: Verhältnis von bereitgestellter Raumheizwärme zu eingesetzter Brennstoffenergie (z. B. 0,80 bei Standardkesseln für Öl/Gas; 1,0 bei Fernwärme).</t>
  </si>
  <si>
    <r>
      <rPr>
        <b/>
        <sz val="10"/>
        <color rgb="FF1E293B"/>
        <rFont val="Calibri"/>
      </rPr>
      <t>H</t>
    </r>
    <r>
      <rPr>
        <b/>
        <vertAlign val="subscript"/>
        <sz val="10"/>
        <color rgb="FF1E293B"/>
        <rFont val="Calibri"/>
      </rPr>
      <t>s</t>
    </r>
    <r>
      <rPr>
        <b/>
        <sz val="10"/>
        <color rgb="FF1E293B"/>
        <rFont val="Calibri"/>
      </rPr>
      <t xml:space="preserve"> / H</t>
    </r>
    <r>
      <rPr>
        <b/>
        <vertAlign val="subscript"/>
        <sz val="10"/>
        <color rgb="FF1E293B"/>
        <rFont val="Calibri"/>
      </rPr>
      <t>i</t>
    </r>
  </si>
  <si>
    <t>Brennwert-/Heizwertverhältnis</t>
  </si>
  <si>
    <t>Brennwertfaktor</t>
  </si>
  <si>
    <t>Brennwert-/Heizwertverhältnis: Normativer Umrechnungsfaktor (1,11 bei Erdgas), da Gasrechnungen in Brennwert (Hs) erfolgen, das Bilanzverfahren der VDI 2077 aber auf dem Heizwert (Hi) basiert.</t>
  </si>
  <si>
    <t>2. Gleichungsverzeichnis (Berechnungsformeln der VDI 2077 Blatt 3.5)</t>
  </si>
  <si>
    <t>Gleichungs-Nr.</t>
  </si>
  <si>
    <t>Bezeichnung</t>
  </si>
  <si>
    <t>Mathematische Formel</t>
  </si>
  <si>
    <t>Erläuterung &amp; Verwendung im Rohrwärme-Rechner</t>
  </si>
  <si>
    <t>Gleichung (4)</t>
  </si>
  <si>
    <t>v_j = z_j / A_j</t>
  </si>
  <si>
    <t>v_j</t>
  </si>
  <si>
    <t>Flächenbezogener Verbrauchswert: Berechnet den spezifischen Verbrauch je Quadratmeter Wohnfläche (v_j = z_j / A_j). Macht das Heizverhalten unterschiedlich großer Wohnungen objektiv vergleichbar.</t>
  </si>
  <si>
    <t>Gleichung (6)</t>
  </si>
  <si>
    <t>v̄ = (1 / n) · ∑ v_j</t>
  </si>
  <si>
    <t>v̄</t>
  </si>
  <si>
    <t>Mittlerer flächenbezogener Verbrauch: Ermittelt das ungewichtete arithmetische Mittel der spezifischen Verbräuche aller n Wohnungen (v̄ = 1/n · ∑ v_j). Bildet die Basis für die Normierung gem. Gl. (5).</t>
  </si>
  <si>
    <t>Gleichung (5)</t>
  </si>
  <si>
    <t>v̂_j = v_j / v̄</t>
  </si>
  <si>
    <t>v̂_j</t>
  </si>
  <si>
    <t>Normierter Verbrauchswert: Setzt den spezifischen Verbrauch der Wohnung j ins Verhältnis zum Liegenschaftsschnitt (v̂_j = v_j / v̄). Werte &lt; 1,0 zeigen unterdurchschnittlichen Verbrauch an.</t>
  </si>
  <si>
    <t>Gleichung (2) / (3)</t>
  </si>
  <si>
    <t>S_v = √[ 1/(n-1) · ∑ (v̂_j - 1)² ]</t>
  </si>
  <si>
    <t>S_v</t>
  </si>
  <si>
    <t>Empirische Standardabweichung: Statistisches Maß für die Verbrauchsspreizung. Erreicht S_v ≥ 0,85, liegt eine extrem hohe Spreizung vor, womit Kriterium 3 der VDI 2077 unmittelbar erfüllt ist.</t>
  </si>
  <si>
    <t>Gleichung (7)</t>
  </si>
  <si>
    <t>M_t,j = [ (1-g)·(v̂_j-1)·(1-r_W/0,43) ] / [ g + (1-g)·((v̂_j-1)·(r_W/0,43)+1) ]</t>
  </si>
  <si>
    <t>M_t,j</t>
  </si>
  <si>
    <t>Theoretischer Mehrbelastungsgrad: Berechnet die prozentuale Kostenüberlastung der Wohnung ohne Rohrwärmekorrektur im Vergleich zu einer korrigierten Abrechnung. Kriterium 2 fordert max(M_t) ≥ 0,10 (10 % Erheblichkeitsschwelle).</t>
  </si>
  <si>
    <t>Gleichung (14) / (15)</t>
  </si>
  <si>
    <t>Brennwert-Korrektur Erdgas</t>
  </si>
  <si>
    <t>Q_HE = (B · H_s) / 1,11</t>
  </si>
  <si>
    <t>Q_HE</t>
  </si>
  <si>
    <t>Brennwert-Korrektur Erdgas: Rechnet den brennwertbezogenen Rechnungsverbrauch (H_s) durch Division durch 1,11 in den normativen heizwertbezogenen Verbrauch (H_i) um (Q_HE = Q_HE,Hs / 1,11).</t>
  </si>
  <si>
    <t>Gleichung (16)</t>
  </si>
  <si>
    <t>Q_HW = Q_HE · ν_HW</t>
  </si>
  <si>
    <t>Q_HW</t>
  </si>
  <si>
    <t>Raumheizwärme: Ermittelt die reine, dem Gebäude für Heizzwecke übergebene Nutzwärme durch Bereinigung um die Kesselverluste über den Jahresnutzungsgrad ν_HW (z. B. 0,80 bei Standardkesseln).</t>
  </si>
  <si>
    <t>Gleichung (20)</t>
  </si>
  <si>
    <t>Heizerfassungsrate (Berichtigung 2018)</t>
  </si>
  <si>
    <t>r_W = ∑ z_j / (Q_HW · E_B · f_SK · f_KQ)</t>
  </si>
  <si>
    <t>r_W</t>
  </si>
  <si>
    <t>Heizerfassungsrate (Berichtigung 2018): Berechnet den Anteil der tatsächlich über Heizkostenverteiler erfassten Raumwärme (r_W = ∑ z_j / (Q_HW · E_B · f_SK · f_KQ)). Kriterium 1 fordert r_W ≤ 0,34.</t>
  </si>
  <si>
    <t>Gleichungen (21)–(23)</t>
  </si>
  <si>
    <t>Rohrwärmeeinheiten Liegenschaft</t>
  </si>
  <si>
    <t>∑ z_GW = (0,43 - r_W) · Q_HW · E_B · f_SK · f_KQ</t>
  </si>
  <si>
    <t>∑ z_GW</t>
  </si>
  <si>
    <t>Rohrwärmeeinheiten Liegenschaft: Berechnet die ungemessene Rohrwärme als Differenz zum Zielwert 0,43 und rechnet sie in Zähleinheiten um (∑ z_GW = (0,43 - r_W) · Q_HW · E_B · f_SK · f_KQ).</t>
  </si>
  <si>
    <t>Gleichung (29)</t>
  </si>
  <si>
    <t>Flächenproportionale Zuweisung</t>
  </si>
  <si>
    <t>z_GW,j = ∑ z_GW · (A_j / ∑ A_j)</t>
  </si>
  <si>
    <t>z_GW,j</t>
  </si>
  <si>
    <t>Flächenproportionale Zuweisung: Weist die gesamten Rohrwärmeeinheiten des Gebäudes den einzelnen Wohnungen streng proportional zu ihrer Wohnfläche zu (z_GW,j = ∑ z_GW · (A_j / ∑ A_j)).</t>
  </si>
  <si>
    <t>Gleichung (C2) / (C7)</t>
  </si>
  <si>
    <t>f_KQ = (50 / 60)^1,3 ≈ 0,789</t>
  </si>
  <si>
    <t>f_KQ</t>
  </si>
  <si>
    <t>Referenzsystem-Faktor: Gleicht die geringere Zählgeschwindigkeit aus, wenn Heizkörper nach moderner DIN EN 442 (Q50: 75/65 °C) statt nach alter DIN EN 834 (Q60: 90/70 °C) bewertet werden.</t>
  </si>
  <si>
    <t>Gleichung (C4) / (C6)</t>
  </si>
  <si>
    <t>Skalenfaktor Anzeigeskalierung</t>
  </si>
  <si>
    <t>f_SK = K_Q,prog</t>
  </si>
  <si>
    <t>f_SK</t>
  </si>
  <si>
    <t>Skalenfaktor: Gleicht herstellerseitige Programmierungen der Geräteanzeige aus (z. B. f_SK = 10 bei Einheitsskalen zur Streckung kleiner Werte; 1,0 bei Produktskalen), um die Energiebilanz zu neutralisieren. Jeder Wert frei eintragbar.</t>
  </si>
  <si>
    <t>Heizöl</t>
  </si>
  <si>
    <t>WE 01</t>
  </si>
  <si>
    <t>WE 02</t>
  </si>
  <si>
    <t>WE 03</t>
  </si>
  <si>
    <t>WE 04</t>
  </si>
  <si>
    <t>WE 05</t>
  </si>
  <si>
    <t>WE 06</t>
  </si>
  <si>
    <t>WE 07</t>
  </si>
  <si>
    <t>WE 08</t>
  </si>
  <si>
    <t>WE 09</t>
  </si>
  <si>
    <t>WE 10</t>
  </si>
  <si>
    <t>WE 11</t>
  </si>
  <si>
    <t>WE 12</t>
  </si>
  <si>
    <t>Basisempfindlichkeit (nach VDI 2077 Blatt 3.5): Zählrate des Heizkostenverteilers (VE pro kWh Nutzwärme). Eigenständige Kenngröße der VDI 2077; Standardwert meist 1,000 VE/kWh.</t>
  </si>
  <si>
    <t>Skalenfaktor (Anzeigeskalierung): Korrekturfaktor nach VDI 2077 für die Programmierung der Anzeige (1,0 bei Produktskalierung; 10,0 bei Einheitsskala oder herstellerspezifischer Faktor).</t>
  </si>
  <si>
    <t>Erläuterung</t>
  </si>
  <si>
    <t>Fernwärme</t>
  </si>
  <si>
    <t>Nein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</si>
</sst>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 \€"/>
    <numFmt numFmtId="165" formatCode="0&quot; %&quot;"/>
    <numFmt numFmtId="166" formatCode="#,##0.00\ &quot;m²&quot;"/>
    <numFmt numFmtId="167" formatCode="#,##0.00\ &quot;kWh&quot;"/>
    <numFmt numFmtId="168" formatCode="0.000"/>
    <numFmt numFmtId="169" formatCode="0.0\ %"/>
    <numFmt numFmtId="170" formatCode="\+#,##0.00\ \€;\-#,##0.00\ \€;0.00\ \€"/>
    <numFmt numFmtId="172" formatCode="#,##0.00\ &quot;VE&quot;"/>
    <numFmt numFmtId="175" formatCode="[Red]\+#,##0.00\ \€;\-#,##0.00\ \€;0.00\ \€"/>
  </numFmts>
  <fonts count="15" x14ac:knownFonts="1">
    <font>
      <sz val="11"/>
      <color theme="1"/>
      <name val="Calibri"/>
      <family val="2"/>
      <scheme val="minor"/>
    </font>
    <font>
      <b/>
      <sz val="13"/>
      <color rgb="FFFFFFFF"/>
      <name val="Calibri"/>
    </font>
    <font>
      <i/>
      <sz val="10"/>
      <color rgb="FFF8FAFC"/>
      <name val="Calibri"/>
    </font>
    <font>
      <b/>
      <sz val="9.5"/>
      <color rgb="FF1E293B"/>
      <name val="Calibri"/>
    </font>
    <font>
      <b/>
      <sz val="11"/>
      <color rgb="FFFFFFFF"/>
      <name val="Calibri"/>
    </font>
    <font>
      <b/>
      <sz val="10"/>
      <color rgb="FF1E40AF"/>
      <name val="Calibri"/>
    </font>
    <font>
      <b/>
      <sz val="10"/>
      <color rgb="FF0F172A"/>
      <name val="Calibri"/>
    </font>
    <font>
      <sz val="10"/>
      <color rgb="FF1E293B"/>
      <name val="Calibri"/>
    </font>
    <font>
      <i/>
      <sz val="9"/>
      <color rgb="FF64748B"/>
      <name val="Calibri"/>
    </font>
    <font>
      <b/>
      <sz val="10"/>
      <color rgb="FF1E293B"/>
      <name val="Calibri"/>
    </font>
    <font>
      <b/>
      <sz val="9.5"/>
      <color rgb="FF1E3A8A"/>
      <name val="Consolas"/>
    </font>
    <font>
      <vertAlign val="subscript"/>
      <sz val="10"/>
      <color rgb="FF1E293B"/>
      <name val="Calibri"/>
    </font>
    <font>
      <b/>
      <vertAlign val="subscript"/>
      <sz val="10"/>
      <color rgb="FF1E293B"/>
      <name val="Calibri"/>
    </font>
    <font>
      <sz val="10"/>
      <color rgb="FF1E293B"/>
      <name val="Calibri"/>
      <family val="2"/>
    </font>
    <font>
      <b/>
      <sz val="10"/>
      <color rgb="FF1E293B"/>
      <name val="Calibri"/>
      <family val="2"/>
    </font>
  </fonts>
  <fills count="12">
    <fill>
      <patternFill patternType="none"/>
    </fill>
    <fill>
      <patternFill patternType="gray125"/>
    </fill>
    <fill>
      <patternFill patternType="solid">
        <fgColor rgb="FF1E293B"/>
        <bgColor rgb="FF1E293B"/>
      </patternFill>
    </fill>
    <fill>
      <patternFill patternType="solid">
        <fgColor rgb="FF334155"/>
        <bgColor rgb="FF334155"/>
      </patternFill>
    </fill>
    <fill>
      <patternFill patternType="solid">
        <fgColor rgb="FFF1F5F9"/>
        <bgColor rgb="FFF1F5F9"/>
      </patternFill>
    </fill>
    <fill>
      <patternFill patternType="solid">
        <fgColor rgb="FF2563EB"/>
        <bgColor rgb="FF2563EB"/>
      </patternFill>
    </fill>
    <fill>
      <patternFill patternType="solid">
        <fgColor rgb="FFEFF6FF"/>
        <bgColor rgb="FFEFF6FF"/>
      </patternFill>
    </fill>
    <fill>
      <patternFill patternType="solid">
        <fgColor rgb="FF1E3A8A"/>
        <bgColor rgb="FF1E3A8A"/>
      </patternFill>
    </fill>
    <fill>
      <patternFill patternType="solid">
        <fgColor rgb="FFDBEAFE"/>
        <bgColor rgb="FFDBEAFE"/>
      </patternFill>
    </fill>
    <fill>
      <patternFill patternType="solid">
        <fgColor rgb="FFF8FAFC"/>
        <bgColor rgb="FFF8FAFC"/>
      </patternFill>
    </fill>
    <fill>
      <patternFill patternType="solid">
        <fgColor rgb="FFE2E8F0"/>
        <bgColor rgb="FFE2E8F0"/>
      </patternFill>
    </fill>
    <fill>
      <patternFill patternType="solid">
        <fgColor theme="2"/>
        <bgColor indexed="64"/>
      </patternFill>
    </fill>
  </fills>
  <borders count="12">
    <border>
      <left/>
      <right/>
      <top/>
      <bottom/>
      <diagonal/>
    </border>
    <border>
      <left style="thin">
        <color rgb="FFCBD5E1"/>
      </left>
      <right style="thin">
        <color rgb="FFCBD5E1"/>
      </right>
      <top style="thin">
        <color rgb="FFCBD5E1"/>
      </top>
      <bottom style="thin">
        <color rgb="FFCBD5E1"/>
      </bottom>
      <diagonal/>
    </border>
    <border>
      <left style="thin">
        <color rgb="FF93C5FD"/>
      </left>
      <right style="thin">
        <color rgb="FF93C5FD"/>
      </right>
      <top style="thin">
        <color rgb="FF93C5FD"/>
      </top>
      <bottom style="thin">
        <color rgb="FF93C5FD"/>
      </bottom>
      <diagonal/>
    </border>
    <border>
      <left style="thin">
        <color rgb="FFCBD5E1"/>
      </left>
      <right style="thin">
        <color rgb="FFCBD5E1"/>
      </right>
      <top style="thin">
        <color rgb="FFCBD5E1"/>
      </top>
      <bottom style="medium">
        <color rgb="FF2563EB"/>
      </bottom>
      <diagonal/>
    </border>
    <border>
      <left/>
      <right style="thin">
        <color rgb="FFCBD5E1"/>
      </right>
      <top style="thin">
        <color rgb="FFCBD5E1"/>
      </top>
      <bottom style="medium">
        <color rgb="FF2563EB"/>
      </bottom>
      <diagonal/>
    </border>
    <border>
      <left style="thin">
        <color rgb="FFCBD5E1"/>
      </left>
      <right style="thin">
        <color rgb="FFCBD5E1"/>
      </right>
      <top style="thin">
        <color rgb="FFCBD5E1"/>
      </top>
      <bottom style="double">
        <color rgb="FF1E293B"/>
      </bottom>
      <diagonal/>
    </border>
    <border>
      <left style="thin">
        <color rgb="FFCBD5E1"/>
      </left>
      <right/>
      <top/>
      <bottom/>
      <diagonal/>
    </border>
    <border>
      <left/>
      <right style="thin">
        <color rgb="FF93C5FD"/>
      </right>
      <top/>
      <bottom/>
      <diagonal/>
    </border>
    <border>
      <left/>
      <right style="thin">
        <color rgb="FFCBD5E1"/>
      </right>
      <top/>
      <bottom/>
      <diagonal/>
    </border>
    <border>
      <left style="thin">
        <color rgb="FFCBD5E1"/>
      </left>
      <right/>
      <top style="thin">
        <color rgb="FFCBD5E1"/>
      </top>
      <bottom style="medium">
        <color rgb="FF2563EB"/>
      </bottom>
      <diagonal/>
    </border>
    <border>
      <left/>
      <right/>
      <top style="thin">
        <color rgb="FFCBD5E1"/>
      </top>
      <bottom style="medium">
        <color rgb="FF2563EB"/>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80">
    <xf numFmtId="0" fontId="0" fillId="0" borderId="0" xfId="0"/>
    <xf numFmtId="0" fontId="0" fillId="0" borderId="1" xfId="0" applyBorder="1" applyAlignment="1">
      <alignment horizontal="left" vertical="center"/>
    </xf>
    <xf numFmtId="164" fontId="5" fillId="6" borderId="2" xfId="0" applyNumberFormat="1" applyFont="1" applyFill="1" applyBorder="1" applyAlignment="1">
      <alignment horizontal="right" vertical="center"/>
    </xf>
    <xf numFmtId="0" fontId="5" fillId="6" borderId="2" xfId="0" applyFont="1" applyFill="1" applyBorder="1" applyAlignment="1">
      <alignment horizontal="center" vertical="center"/>
    </xf>
    <xf numFmtId="165" fontId="5" fillId="6" borderId="2" xfId="0" applyNumberFormat="1" applyFont="1" applyFill="1" applyBorder="1" applyAlignment="1">
      <alignment horizontal="right" vertical="center"/>
    </xf>
    <xf numFmtId="165" fontId="6" fillId="0" borderId="1" xfId="0" applyNumberFormat="1" applyFont="1" applyBorder="1" applyAlignment="1">
      <alignment horizontal="right" vertical="center"/>
    </xf>
    <xf numFmtId="167" fontId="5" fillId="6" borderId="2" xfId="0" applyNumberFormat="1" applyFont="1" applyFill="1" applyBorder="1" applyAlignment="1">
      <alignment horizontal="right" vertical="center"/>
    </xf>
    <xf numFmtId="164" fontId="6" fillId="0" borderId="1" xfId="0" applyNumberFormat="1" applyFont="1" applyBorder="1" applyAlignment="1">
      <alignment horizontal="right" vertical="center"/>
    </xf>
    <xf numFmtId="167" fontId="6" fillId="0" borderId="1" xfId="0" applyNumberFormat="1" applyFont="1" applyBorder="1" applyAlignment="1">
      <alignment horizontal="right" vertical="center"/>
    </xf>
    <xf numFmtId="166" fontId="6" fillId="0" borderId="1" xfId="0" applyNumberFormat="1" applyFont="1" applyBorder="1" applyAlignment="1">
      <alignment horizontal="right" vertical="center"/>
    </xf>
    <xf numFmtId="2" fontId="7" fillId="0" borderId="1" xfId="0" applyNumberFormat="1" applyFont="1" applyBorder="1" applyAlignment="1">
      <alignment horizontal="right" vertical="center"/>
    </xf>
    <xf numFmtId="4" fontId="6" fillId="0" borderId="1" xfId="0" applyNumberFormat="1" applyFont="1" applyBorder="1" applyAlignment="1">
      <alignment horizontal="right" vertical="center"/>
    </xf>
    <xf numFmtId="1" fontId="6" fillId="0" borderId="1" xfId="0" applyNumberFormat="1" applyFont="1" applyBorder="1" applyAlignment="1">
      <alignment horizontal="right" vertical="center"/>
    </xf>
    <xf numFmtId="0" fontId="8" fillId="0" borderId="0" xfId="0" applyFont="1" applyAlignment="1">
      <alignment horizontal="left" vertical="center"/>
    </xf>
    <xf numFmtId="0" fontId="6" fillId="0" borderId="1" xfId="0" applyFont="1" applyBorder="1" applyAlignment="1">
      <alignment horizontal="left" vertical="center"/>
    </xf>
    <xf numFmtId="168" fontId="5" fillId="6" borderId="2" xfId="0" applyNumberFormat="1" applyFont="1" applyFill="1" applyBorder="1" applyAlignment="1">
      <alignment horizontal="right" vertical="center"/>
    </xf>
    <xf numFmtId="168" fontId="6" fillId="0" borderId="1" xfId="0" applyNumberFormat="1" applyFont="1" applyBorder="1" applyAlignment="1">
      <alignment horizontal="right" vertical="center"/>
    </xf>
    <xf numFmtId="0" fontId="9" fillId="8" borderId="3" xfId="0" applyFont="1" applyFill="1" applyBorder="1" applyAlignment="1">
      <alignment horizontal="left" vertical="center"/>
    </xf>
    <xf numFmtId="0" fontId="9" fillId="8" borderId="3" xfId="0" applyFont="1" applyFill="1" applyBorder="1" applyAlignment="1">
      <alignment horizontal="center" vertical="center"/>
    </xf>
    <xf numFmtId="0" fontId="0" fillId="0" borderId="1" xfId="0"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left" vertical="center"/>
    </xf>
    <xf numFmtId="0" fontId="6" fillId="0" borderId="1" xfId="0" applyFont="1" applyBorder="1" applyAlignment="1">
      <alignment horizontal="center" vertical="center"/>
    </xf>
    <xf numFmtId="169" fontId="6" fillId="0" borderId="1" xfId="0" applyNumberFormat="1" applyFont="1" applyBorder="1" applyAlignment="1">
      <alignment horizontal="right" vertical="center"/>
    </xf>
    <xf numFmtId="0" fontId="6" fillId="10" borderId="1" xfId="0" applyFont="1" applyFill="1" applyBorder="1" applyAlignment="1">
      <alignment horizontal="center" vertical="center"/>
    </xf>
    <xf numFmtId="4" fontId="5" fillId="6" borderId="2" xfId="0" applyNumberFormat="1" applyFont="1" applyFill="1" applyBorder="1" applyAlignment="1">
      <alignment horizontal="right" vertical="center"/>
    </xf>
    <xf numFmtId="166" fontId="6" fillId="10" borderId="1" xfId="0" applyNumberFormat="1" applyFont="1" applyFill="1" applyBorder="1" applyAlignment="1">
      <alignment horizontal="right" vertical="center"/>
    </xf>
    <xf numFmtId="4" fontId="6" fillId="10" borderId="1" xfId="0" applyNumberFormat="1" applyFont="1" applyFill="1" applyBorder="1" applyAlignment="1">
      <alignment horizontal="right" vertical="center"/>
    </xf>
    <xf numFmtId="4" fontId="7" fillId="0" borderId="1" xfId="0" applyNumberFormat="1" applyFont="1" applyBorder="1" applyAlignment="1">
      <alignment horizontal="right" vertical="center"/>
    </xf>
    <xf numFmtId="164" fontId="7" fillId="0" borderId="1" xfId="0" applyNumberFormat="1" applyFont="1" applyBorder="1" applyAlignment="1">
      <alignment horizontal="right" vertical="center"/>
    </xf>
    <xf numFmtId="164" fontId="6" fillId="10" borderId="1" xfId="0" applyNumberFormat="1" applyFont="1" applyFill="1" applyBorder="1" applyAlignment="1">
      <alignment horizontal="right" vertical="center"/>
    </xf>
    <xf numFmtId="170" fontId="6" fillId="0" borderId="1" xfId="0" applyNumberFormat="1" applyFont="1" applyBorder="1" applyAlignment="1">
      <alignment horizontal="right" vertical="center"/>
    </xf>
    <xf numFmtId="164" fontId="6" fillId="10" borderId="5" xfId="0" applyNumberFormat="1" applyFont="1" applyFill="1" applyBorder="1" applyAlignment="1">
      <alignment horizontal="right" vertical="center"/>
    </xf>
    <xf numFmtId="168" fontId="7" fillId="0" borderId="1" xfId="0" applyNumberFormat="1" applyFont="1" applyBorder="1" applyAlignment="1">
      <alignment horizontal="center" vertical="center"/>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4" fillId="7" borderId="0" xfId="0" applyFont="1" applyFill="1" applyAlignment="1">
      <alignment horizontal="left" vertical="center"/>
    </xf>
    <xf numFmtId="0" fontId="0" fillId="0" borderId="0" xfId="0"/>
    <xf numFmtId="0" fontId="1" fillId="2" borderId="0" xfId="0" applyFont="1" applyFill="1" applyAlignment="1">
      <alignment horizontal="center" vertical="center"/>
    </xf>
    <xf numFmtId="0" fontId="6" fillId="0" borderId="1" xfId="0" applyFont="1" applyBorder="1" applyAlignment="1">
      <alignment horizontal="center" vertical="center"/>
    </xf>
    <xf numFmtId="0" fontId="0" fillId="0" borderId="1" xfId="0" applyBorder="1"/>
    <xf numFmtId="0" fontId="4" fillId="5" borderId="0" xfId="0" applyFont="1" applyFill="1" applyAlignment="1">
      <alignment horizontal="left" vertical="center"/>
    </xf>
    <xf numFmtId="0" fontId="2" fillId="3" borderId="0" xfId="0" applyFont="1" applyFill="1" applyAlignment="1">
      <alignment horizontal="center" vertical="center"/>
    </xf>
    <xf numFmtId="0" fontId="9" fillId="8" borderId="3" xfId="0" applyFont="1" applyFill="1" applyBorder="1" applyAlignment="1">
      <alignment horizontal="center" vertical="center"/>
    </xf>
    <xf numFmtId="0" fontId="0" fillId="0" borderId="4" xfId="0" applyBorder="1"/>
    <xf numFmtId="0" fontId="6" fillId="0" borderId="1" xfId="0" applyFont="1" applyBorder="1" applyAlignment="1">
      <alignment horizontal="left" vertical="center"/>
    </xf>
    <xf numFmtId="0" fontId="9" fillId="8" borderId="3" xfId="0" applyFont="1" applyFill="1" applyBorder="1" applyAlignment="1">
      <alignment horizontal="left" vertical="center"/>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6" fillId="0" borderId="6" xfId="0" applyFont="1" applyBorder="1" applyAlignment="1">
      <alignment horizontal="left" vertical="center" wrapText="1"/>
    </xf>
    <xf numFmtId="0" fontId="6" fillId="0" borderId="8" xfId="0" applyFont="1" applyBorder="1" applyAlignment="1">
      <alignment horizontal="left" vertical="center" wrapText="1"/>
    </xf>
    <xf numFmtId="0" fontId="13" fillId="0" borderId="1" xfId="0" applyFont="1" applyBorder="1" applyAlignment="1">
      <alignment horizontal="left" vertical="center"/>
    </xf>
    <xf numFmtId="0" fontId="14" fillId="8" borderId="3" xfId="0" applyFont="1" applyFill="1" applyBorder="1" applyAlignment="1">
      <alignment horizontal="left" vertical="center"/>
    </xf>
    <xf numFmtId="0" fontId="7" fillId="0" borderId="6" xfId="0" applyFont="1" applyBorder="1" applyAlignment="1">
      <alignment horizontal="center" vertical="center" wrapText="1"/>
    </xf>
    <xf numFmtId="0" fontId="7" fillId="0" borderId="0" xfId="0" applyFont="1" applyBorder="1" applyAlignment="1">
      <alignment horizontal="center" vertical="center" wrapText="1"/>
    </xf>
    <xf numFmtId="0" fontId="7" fillId="0" borderId="8" xfId="0" applyFont="1" applyBorder="1" applyAlignment="1">
      <alignment horizontal="center" vertical="center" wrapText="1"/>
    </xf>
    <xf numFmtId="0" fontId="9" fillId="8" borderId="9" xfId="0" applyFont="1" applyFill="1" applyBorder="1" applyAlignment="1">
      <alignment horizontal="center" vertical="center"/>
    </xf>
    <xf numFmtId="0" fontId="9" fillId="8" borderId="10" xfId="0" applyFont="1" applyFill="1" applyBorder="1" applyAlignment="1">
      <alignment horizontal="center" vertical="center"/>
    </xf>
    <xf numFmtId="0" fontId="9" fillId="8" borderId="4" xfId="0" applyFont="1" applyFill="1" applyBorder="1" applyAlignment="1">
      <alignment horizontal="center" vertical="center"/>
    </xf>
    <xf numFmtId="0" fontId="0" fillId="0" borderId="0" xfId="0" applyBorder="1" applyAlignment="1">
      <alignment horizontal="left" vertical="center"/>
    </xf>
    <xf numFmtId="4" fontId="6" fillId="0" borderId="0" xfId="0" applyNumberFormat="1" applyFont="1" applyBorder="1" applyAlignment="1">
      <alignment horizontal="right" vertical="center"/>
    </xf>
    <xf numFmtId="0" fontId="9" fillId="8" borderId="3" xfId="0" applyFont="1" applyFill="1" applyBorder="1" applyAlignment="1">
      <alignment horizontal="center" vertical="center" wrapText="1"/>
    </xf>
    <xf numFmtId="168" fontId="6" fillId="0" borderId="1" xfId="0" applyNumberFormat="1" applyFont="1" applyBorder="1" applyAlignment="1">
      <alignment horizontal="center" vertical="center"/>
    </xf>
    <xf numFmtId="169" fontId="6" fillId="0" borderId="1" xfId="0" applyNumberFormat="1" applyFont="1" applyBorder="1" applyAlignment="1">
      <alignment horizontal="center" vertical="center"/>
    </xf>
    <xf numFmtId="172" fontId="6" fillId="10" borderId="1" xfId="0" applyNumberFormat="1" applyFont="1" applyFill="1" applyBorder="1" applyAlignment="1">
      <alignment horizontal="right" vertical="center"/>
    </xf>
    <xf numFmtId="175" fontId="6" fillId="0" borderId="1" xfId="0" applyNumberFormat="1" applyFont="1" applyBorder="1" applyAlignment="1">
      <alignment horizontal="right" vertical="center"/>
    </xf>
    <xf numFmtId="172" fontId="6" fillId="0" borderId="1" xfId="0" applyNumberFormat="1" applyFont="1" applyBorder="1" applyAlignment="1">
      <alignment horizontal="right" vertical="center"/>
    </xf>
    <xf numFmtId="0" fontId="0" fillId="0" borderId="0" xfId="0" applyBorder="1" applyAlignment="1">
      <alignment horizontal="left" vertical="center" wrapText="1"/>
    </xf>
    <xf numFmtId="0" fontId="6" fillId="0" borderId="0" xfId="0" applyFont="1" applyBorder="1" applyAlignment="1">
      <alignment horizontal="left" vertical="center" wrapText="1"/>
    </xf>
    <xf numFmtId="0" fontId="3" fillId="4" borderId="6"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0" fillId="11" borderId="1" xfId="0" applyFill="1" applyBorder="1" applyAlignment="1">
      <alignment horizontal="left" vertical="center"/>
    </xf>
    <xf numFmtId="172" fontId="6" fillId="11" borderId="1" xfId="0" applyNumberFormat="1" applyFont="1" applyFill="1" applyBorder="1" applyAlignment="1">
      <alignment horizontal="right" vertical="center"/>
    </xf>
    <xf numFmtId="0" fontId="0" fillId="11" borderId="0" xfId="0" applyFill="1"/>
    <xf numFmtId="172" fontId="6" fillId="11" borderId="11" xfId="0" applyNumberFormat="1" applyFont="1" applyFill="1" applyBorder="1" applyAlignment="1">
      <alignment horizontal="right" vertical="center"/>
    </xf>
    <xf numFmtId="172" fontId="6" fillId="11" borderId="11" xfId="0" applyNumberFormat="1" applyFont="1" applyFill="1" applyBorder="1" applyAlignment="1">
      <alignment horizontal="center" vertical="center"/>
    </xf>
    <xf numFmtId="172" fontId="6" fillId="11" borderId="1" xfId="0" applyNumberFormat="1" applyFont="1" applyFill="1" applyBorder="1" applyAlignment="1">
      <alignment horizontal="center" vertical="center"/>
    </xf>
    <xf numFmtId="0" fontId="0" fillId="11" borderId="0" xfId="0" applyFill="1" applyBorder="1" applyAlignment="1">
      <alignment horizontal="right" vertical="center" wrapText="1" indent="1"/>
    </xf>
    <xf numFmtId="0" fontId="14" fillId="9" borderId="0" xfId="0" applyFont="1" applyFill="1" applyBorder="1" applyAlignment="1">
      <alignment horizontal="center" vertical="center" wrapText="1"/>
    </xf>
  </cellXfs>
  <cellStyles count="1">
    <cellStyle name="Standard" xfId="0" builtinId="0"/>
  </cellStyles>
  <dxfs count="32">
    <dxf>
      <fill>
        <patternFill patternType="none">
          <bgColor auto="1"/>
        </patternFill>
      </fill>
    </dxf>
    <dxf>
      <fill>
        <patternFill>
          <bgColor theme="5" tint="0.39994506668294322"/>
        </patternFill>
      </fill>
    </dxf>
    <dxf>
      <fill>
        <patternFill>
          <bgColor rgb="FFDCFCE7"/>
        </patternFill>
      </fill>
    </dxf>
    <dxf>
      <font>
        <sz val="10"/>
        <color rgb="FF475569"/>
        <name val="Calibri"/>
      </font>
      <fill>
        <patternFill patternType="solid">
          <fgColor rgb="FFF1F5F9"/>
          <bgColor rgb="FFF1F5F9"/>
        </patternFill>
      </fill>
    </dxf>
    <dxf>
      <font>
        <b/>
        <sz val="10"/>
        <color rgb="FF166534"/>
        <name val="Calibri"/>
      </font>
      <fill>
        <patternFill patternType="solid">
          <fgColor rgb="FFDCFCE7"/>
          <bgColor rgb="FFDCFCE7"/>
        </patternFill>
      </fill>
    </dxf>
    <dxf>
      <fill>
        <patternFill patternType="solid">
          <bgColor theme="0" tint="-4.9989318521683403E-2"/>
        </patternFill>
      </fill>
    </dxf>
    <dxf>
      <fill>
        <patternFill>
          <bgColor theme="5" tint="0.39994506668294322"/>
        </patternFill>
      </fill>
    </dxf>
    <dxf>
      <fill>
        <patternFill>
          <bgColor rgb="FFDCFCE7"/>
        </patternFill>
      </fill>
    </dxf>
    <dxf>
      <font>
        <sz val="10"/>
        <color rgb="FF475569"/>
        <name val="Calibri"/>
      </font>
      <fill>
        <patternFill patternType="solid">
          <fgColor rgb="FFF1F5F9"/>
          <bgColor rgb="FFF1F5F9"/>
        </patternFill>
      </fill>
    </dxf>
    <dxf>
      <font>
        <b/>
        <sz val="10"/>
        <color rgb="FF166534"/>
        <name val="Calibri"/>
      </font>
      <fill>
        <patternFill patternType="solid">
          <fgColor rgb="FFDCFCE7"/>
          <bgColor rgb="FFDCFCE7"/>
        </patternFill>
      </fill>
    </dxf>
    <dxf>
      <fill>
        <patternFill>
          <bgColor theme="5" tint="0.39994506668294322"/>
        </patternFill>
      </fill>
    </dxf>
    <dxf>
      <fill>
        <patternFill>
          <bgColor rgb="FFDCFCE7"/>
        </patternFill>
      </fill>
    </dxf>
    <dxf>
      <font>
        <sz val="10"/>
        <color rgb="FF475569"/>
        <name val="Calibri"/>
      </font>
      <fill>
        <patternFill patternType="solid">
          <fgColor rgb="FFF1F5F9"/>
          <bgColor rgb="FFF1F5F9"/>
        </patternFill>
      </fill>
    </dxf>
    <dxf>
      <font>
        <b/>
        <sz val="10"/>
        <color rgb="FF166534"/>
        <name val="Calibri"/>
      </font>
      <fill>
        <patternFill patternType="solid">
          <fgColor rgb="FFDCFCE7"/>
          <bgColor rgb="FFDCFCE7"/>
        </patternFill>
      </fill>
    </dxf>
    <dxf>
      <fill>
        <patternFill>
          <bgColor theme="5" tint="0.39994506668294322"/>
        </patternFill>
      </fill>
    </dxf>
    <dxf>
      <fill>
        <patternFill>
          <bgColor rgb="FFDCFCE7"/>
        </patternFill>
      </fill>
    </dxf>
    <dxf>
      <font>
        <sz val="10"/>
        <color rgb="FF475569"/>
        <name val="Calibri"/>
      </font>
      <fill>
        <patternFill patternType="solid">
          <fgColor rgb="FFF1F5F9"/>
          <bgColor rgb="FFF1F5F9"/>
        </patternFill>
      </fill>
    </dxf>
    <dxf>
      <font>
        <b/>
        <sz val="10"/>
        <color rgb="FF166534"/>
        <name val="Calibri"/>
      </font>
      <fill>
        <patternFill patternType="solid">
          <fgColor rgb="FFDCFCE7"/>
          <bgColor rgb="FFDCFCE7"/>
        </patternFill>
      </fill>
    </dxf>
    <dxf>
      <font>
        <sz val="10"/>
        <color rgb="FF475569"/>
        <name val="Calibri"/>
      </font>
      <fill>
        <patternFill patternType="solid">
          <fgColor rgb="FFF1F5F9"/>
          <bgColor rgb="FFF1F5F9"/>
        </patternFill>
      </fill>
    </dxf>
    <dxf>
      <font>
        <b/>
        <sz val="10"/>
        <color rgb="FF166534"/>
        <name val="Calibri"/>
      </font>
      <fill>
        <patternFill patternType="solid">
          <fgColor rgb="FFDCFCE7"/>
          <bgColor rgb="FFDCFCE7"/>
        </patternFill>
      </fill>
    </dxf>
    <dxf>
      <fill>
        <patternFill>
          <bgColor theme="5" tint="0.39994506668294322"/>
        </patternFill>
      </fill>
    </dxf>
    <dxf>
      <fill>
        <patternFill>
          <bgColor rgb="FFDCFCE7"/>
        </patternFill>
      </fill>
    </dxf>
    <dxf>
      <font>
        <sz val="10"/>
        <color rgb="FF475569"/>
        <name val="Calibri"/>
      </font>
      <fill>
        <patternFill patternType="solid">
          <fgColor rgb="FFF1F5F9"/>
          <bgColor rgb="FFF1F5F9"/>
        </patternFill>
      </fill>
    </dxf>
    <dxf>
      <font>
        <b/>
        <sz val="10"/>
        <color rgb="FF166534"/>
        <name val="Calibri"/>
      </font>
      <fill>
        <patternFill patternType="solid">
          <fgColor rgb="FFDCFCE7"/>
          <bgColor rgb="FFDCFCE7"/>
        </patternFill>
      </fill>
    </dxf>
    <dxf>
      <fill>
        <patternFill>
          <bgColor theme="5" tint="0.39994506668294322"/>
        </patternFill>
      </fill>
    </dxf>
    <dxf>
      <fill>
        <patternFill>
          <bgColor theme="6" tint="0.79998168889431442"/>
        </patternFill>
      </fill>
    </dxf>
    <dxf>
      <font>
        <sz val="10"/>
        <color rgb="FF475569"/>
        <name val="Calibri"/>
      </font>
      <fill>
        <patternFill patternType="solid">
          <fgColor rgb="FFF1F5F9"/>
          <bgColor rgb="FFF1F5F9"/>
        </patternFill>
      </fill>
    </dxf>
    <dxf>
      <font>
        <b/>
        <sz val="10"/>
        <color rgb="FF166534"/>
        <name val="Calibri"/>
      </font>
      <fill>
        <patternFill patternType="solid">
          <fgColor rgb="FFDCFCE7"/>
          <bgColor rgb="FFDCFCE7"/>
        </patternFill>
      </fill>
    </dxf>
    <dxf>
      <fill>
        <patternFill>
          <bgColor theme="6" tint="0.79998168889431442"/>
        </patternFill>
      </fill>
    </dxf>
    <dxf>
      <fill>
        <patternFill>
          <bgColor theme="6" tint="0.79998168889431442"/>
        </patternFill>
      </fill>
    </dxf>
    <dxf>
      <font>
        <sz val="10"/>
        <color rgb="FF475569"/>
        <name val="Calibri"/>
      </font>
      <fill>
        <patternFill patternType="solid">
          <fgColor rgb="FFF1F5F9"/>
          <bgColor rgb="FFF1F5F9"/>
        </patternFill>
      </fill>
    </dxf>
    <dxf>
      <font>
        <b/>
        <sz val="10"/>
        <color rgb="FF166534"/>
        <name val="Calibri"/>
      </font>
      <fill>
        <patternFill patternType="solid">
          <fgColor rgb="FFDCFCE7"/>
          <bgColor rgb="FFDCFCE7"/>
        </patternFill>
      </fill>
    </dxf>
  </dxfs>
  <tableStyles count="0" defaultTableStyle="TableStyleMedium9" defaultPivotStyle="PivotStyleLight16"/>
  <colors>
    <mruColors>
      <color rgb="FFDCFC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1"/>
  <sheetViews>
    <sheetView showGridLines="0" tabSelected="1" workbookViewId="0">
      <selection activeCell="B6" sqref="B6"/>
    </sheetView>
  </sheetViews>
  <sheetFormatPr baseColWidth="10" defaultColWidth="9.140625" defaultRowHeight="15" x14ac:dyDescent="0.25"/>
  <cols>
    <col min="1" max="1" width="54" customWidth="1"/>
    <col min="2" max="26" width="14.42578125" customWidth="1"/>
    <col min="27" max="27" width="20" customWidth="1"/>
  </cols>
  <sheetData>
    <row r="1" spans="1:9" ht="27.95" customHeight="1" x14ac:dyDescent="0.25">
      <c r="A1" s="38" t="s">
        <v>0</v>
      </c>
      <c r="B1" s="38"/>
      <c r="C1" s="38"/>
      <c r="D1" s="38"/>
      <c r="E1" s="38"/>
      <c r="F1" s="38"/>
      <c r="G1" s="38"/>
      <c r="H1" s="38"/>
      <c r="I1" s="38"/>
    </row>
    <row r="2" spans="1:9" ht="20.100000000000001" customHeight="1" x14ac:dyDescent="0.25">
      <c r="A2" s="42" t="s">
        <v>1</v>
      </c>
      <c r="B2" s="42"/>
      <c r="C2" s="42"/>
      <c r="D2" s="42"/>
      <c r="E2" s="42"/>
      <c r="F2" s="42"/>
      <c r="G2" s="42"/>
      <c r="H2" s="42"/>
      <c r="I2" s="42"/>
    </row>
    <row r="3" spans="1:9" ht="29.25" customHeight="1" x14ac:dyDescent="0.25">
      <c r="A3" s="70" t="s">
        <v>2</v>
      </c>
      <c r="B3" s="71"/>
      <c r="C3" s="71"/>
      <c r="D3" s="71"/>
      <c r="E3" s="71"/>
      <c r="F3" s="71"/>
      <c r="G3" s="71"/>
      <c r="H3" s="71"/>
      <c r="I3" s="71"/>
    </row>
    <row r="5" spans="1:9" ht="24" customHeight="1" x14ac:dyDescent="0.25">
      <c r="A5" s="41" t="s">
        <v>3</v>
      </c>
      <c r="B5" s="37"/>
      <c r="D5" s="41" t="s">
        <v>4</v>
      </c>
      <c r="E5" s="37"/>
      <c r="F5" s="37"/>
      <c r="G5" s="37"/>
    </row>
    <row r="6" spans="1:9" ht="35.1" customHeight="1" x14ac:dyDescent="0.25">
      <c r="A6" s="1" t="s">
        <v>5</v>
      </c>
      <c r="B6" s="2"/>
      <c r="D6" s="47" t="s">
        <v>6</v>
      </c>
      <c r="E6" s="68"/>
      <c r="F6" s="48"/>
      <c r="G6" s="3" t="s">
        <v>330</v>
      </c>
    </row>
    <row r="7" spans="1:9" ht="35.1" customHeight="1" x14ac:dyDescent="0.25">
      <c r="A7" s="1" t="s">
        <v>7</v>
      </c>
      <c r="B7" s="4">
        <v>30</v>
      </c>
      <c r="D7" s="47" t="s">
        <v>8</v>
      </c>
      <c r="E7" s="68"/>
      <c r="F7" s="48"/>
      <c r="G7" s="3" t="s">
        <v>331</v>
      </c>
    </row>
    <row r="8" spans="1:9" ht="35.1" customHeight="1" x14ac:dyDescent="0.25">
      <c r="A8" s="1" t="s">
        <v>10</v>
      </c>
      <c r="B8" s="5">
        <f>100-B7</f>
        <v>70</v>
      </c>
      <c r="D8" s="47" t="s">
        <v>11</v>
      </c>
      <c r="E8" s="68"/>
      <c r="F8" s="48"/>
      <c r="G8" s="6"/>
    </row>
    <row r="9" spans="1:9" ht="35.1" customHeight="1" x14ac:dyDescent="0.25">
      <c r="A9" s="1" t="s">
        <v>12</v>
      </c>
      <c r="B9" s="7">
        <f>IFERROR(B6*B7/100, 0)</f>
        <v>0</v>
      </c>
      <c r="D9" s="47" t="s">
        <v>13</v>
      </c>
      <c r="E9" s="68"/>
      <c r="F9" s="48"/>
      <c r="G9" s="6"/>
    </row>
    <row r="10" spans="1:9" ht="35.1" customHeight="1" x14ac:dyDescent="0.25">
      <c r="A10" s="1" t="s">
        <v>14</v>
      </c>
      <c r="B10" s="7">
        <f>IFERROR(B6*B8/100, 0)</f>
        <v>0</v>
      </c>
      <c r="D10" s="47" t="s">
        <v>15</v>
      </c>
      <c r="E10" s="68"/>
      <c r="F10" s="49"/>
      <c r="G10" s="8">
        <f>IFERROR(MAX(0, G8-G9), 0)</f>
        <v>0</v>
      </c>
    </row>
    <row r="11" spans="1:9" ht="35.1" customHeight="1" x14ac:dyDescent="0.25">
      <c r="A11" s="1" t="s">
        <v>16</v>
      </c>
      <c r="B11" s="9" t="str">
        <f>IF(SUM(B39:Z39)&gt;0, SUM(B39:Z39), "")</f>
        <v/>
      </c>
      <c r="D11" s="47" t="s">
        <v>17</v>
      </c>
      <c r="E11" s="68"/>
      <c r="F11" s="49"/>
      <c r="G11" s="10">
        <f>IF(G6="Erdgas", 1.11, 1)</f>
        <v>1</v>
      </c>
    </row>
    <row r="12" spans="1:9" ht="35.1" customHeight="1" x14ac:dyDescent="0.25">
      <c r="A12" s="1" t="s">
        <v>18</v>
      </c>
      <c r="B12" s="67" t="str">
        <f>IF(SUM(B40:Z40)&gt;0, SUM(B40:Z40), "")</f>
        <v/>
      </c>
      <c r="D12" s="47" t="s">
        <v>19</v>
      </c>
      <c r="E12" s="68"/>
      <c r="F12" s="49"/>
      <c r="G12" s="10">
        <f>IF(G6="Fernwärme", 1, IF(G7="Nein", 1, IF(G6="Erdgas", 0.8, IF(G6="Heizöl", 0.8, IF(G6="Holzpellets", 0.73, IF(G6="Stückholz", 0.58, 1))))))</f>
        <v>1</v>
      </c>
    </row>
    <row r="13" spans="1:9" ht="35.1" customHeight="1" x14ac:dyDescent="0.25">
      <c r="A13" s="1" t="s">
        <v>20</v>
      </c>
      <c r="B13" s="12">
        <f>COUNT(B39:Z39)</f>
        <v>0</v>
      </c>
      <c r="D13" s="47" t="s">
        <v>21</v>
      </c>
      <c r="E13" s="68"/>
      <c r="F13" s="49"/>
      <c r="G13" s="8">
        <f>IFERROR((G10/G11)*G12, 0)</f>
        <v>0</v>
      </c>
    </row>
    <row r="14" spans="1:9" ht="35.1" customHeight="1" x14ac:dyDescent="0.25">
      <c r="D14" s="47" t="s">
        <v>22</v>
      </c>
      <c r="E14" s="68"/>
      <c r="F14" s="48"/>
      <c r="G14" s="6"/>
      <c r="H14" s="13" t="s">
        <v>23</v>
      </c>
    </row>
    <row r="15" spans="1:9" ht="35.1" customHeight="1" x14ac:dyDescent="0.25">
      <c r="D15" s="50" t="s">
        <v>24</v>
      </c>
      <c r="E15" s="69"/>
      <c r="F15" s="51"/>
      <c r="G15" s="8">
        <f>IF(G14&gt;0, G14, IF(G13&gt;0, G13, 0))</f>
        <v>0</v>
      </c>
      <c r="H15" s="13" t="s">
        <v>25</v>
      </c>
    </row>
    <row r="17" spans="1:9" ht="24" customHeight="1" x14ac:dyDescent="0.25">
      <c r="A17" s="36" t="s">
        <v>26</v>
      </c>
      <c r="B17" s="36"/>
      <c r="C17" s="36"/>
      <c r="D17" s="36"/>
      <c r="E17" s="36"/>
      <c r="F17" s="36"/>
      <c r="G17" s="36"/>
      <c r="H17" s="36"/>
      <c r="I17" s="36"/>
    </row>
    <row r="18" spans="1:9" x14ac:dyDescent="0.25">
      <c r="A18" s="1" t="s">
        <v>27</v>
      </c>
      <c r="B18" s="15">
        <v>1</v>
      </c>
    </row>
    <row r="19" spans="1:9" x14ac:dyDescent="0.25">
      <c r="A19" s="1" t="s">
        <v>28</v>
      </c>
      <c r="B19" s="15">
        <v>1</v>
      </c>
    </row>
    <row r="20" spans="1:9" x14ac:dyDescent="0.25">
      <c r="A20" s="1" t="s">
        <v>29</v>
      </c>
      <c r="B20" s="15">
        <v>1</v>
      </c>
    </row>
    <row r="21" spans="1:9" x14ac:dyDescent="0.25">
      <c r="A21" s="1" t="s">
        <v>30</v>
      </c>
      <c r="B21" s="16">
        <f>B19*B20</f>
        <v>1</v>
      </c>
    </row>
    <row r="23" spans="1:9" ht="24" customHeight="1" x14ac:dyDescent="0.25">
      <c r="A23" s="36" t="s">
        <v>31</v>
      </c>
      <c r="B23" s="36"/>
      <c r="C23" s="36"/>
      <c r="D23" s="36"/>
      <c r="E23" s="36"/>
      <c r="F23" s="36"/>
      <c r="G23" s="36"/>
      <c r="H23" s="36"/>
      <c r="I23" s="36"/>
    </row>
    <row r="24" spans="1:9" ht="21.95" customHeight="1" x14ac:dyDescent="0.25">
      <c r="A24" s="79" t="str">
        <f>IF(B13=0, "ℹ Bitte tragen Sie Liegenschafts- und Nutzerdaten ein, um das Prüfprogramm zu starten.", IF(AND(D28&lt;=0.34, D29&gt;=0.1, OR(D30&gt;=0.85, AND(D31&lt;=0.9, D32&gt;=3))), "✔ ERGEBNIS: Die Rohrwärmekorrektur darf durchgeführt werden. " &amp; "Begründung: Der Verbrauchswärmeanteil unterschreitet die Eingriffsgrenze (r_W ≤ 0,34) und die maximale Kostenverzerrung überschreitet die Erheblichkeitsschwelle von 10 % (max(M_t) ≥ 0,10). " &amp; IF(D30&gt;=0.85, "Zudem liegt eine ausgeprägte Verbrauchsstreuung vor (S_v ≥ 0,85).", "Zudem liegt eine typische Schiefverteilung aus vielen Niedrigverbrauchern (v̂_med ≤ 0,90) und Spitzenabnehmern (v̂_max ≥ 3,00) vor."), "✘ ERGEBNIS: Eine Rohrwärmekorrektur darf nicht durchgeführt werden. " &amp; "Begründung: " &amp; IF(D28&gt;0.34, "Die Heizerfassungsrate liegt mit r_W &gt; 0,34 im unkritischen Bereich (überwiegende Erfassung an Heizkörpern).", IF(D29&lt;0.1, "Die maximale Mehrbelastung liegt unter der 10-%-Bagatellgrenze (max(M_t) &lt; 0,10, keine wesentliche Kostenverzerrung).", "Die Verbrauchsverteilung im Gebäude ist homogen; es liegt keine abrechnungsverzerrende Rohrwärmeproblematik vor."))))</f>
        <v>ℹ Bitte tragen Sie Liegenschafts- und Nutzerdaten ein, um das Prüfprogramm zu starten.</v>
      </c>
      <c r="B24" s="79"/>
      <c r="C24" s="79"/>
      <c r="D24" s="79"/>
      <c r="E24" s="79"/>
      <c r="F24" s="79"/>
      <c r="G24" s="79"/>
      <c r="H24" s="79"/>
      <c r="I24" s="79"/>
    </row>
    <row r="25" spans="1:9" ht="21.95" customHeight="1" x14ac:dyDescent="0.25">
      <c r="A25" s="79"/>
      <c r="B25" s="79"/>
      <c r="C25" s="79"/>
      <c r="D25" s="79"/>
      <c r="E25" s="79"/>
      <c r="F25" s="79"/>
      <c r="G25" s="79"/>
      <c r="H25" s="79"/>
      <c r="I25" s="79"/>
    </row>
    <row r="27" spans="1:9" ht="24" customHeight="1" thickBot="1" x14ac:dyDescent="0.3">
      <c r="A27" s="17" t="s">
        <v>32</v>
      </c>
      <c r="B27" s="18" t="s">
        <v>33</v>
      </c>
      <c r="C27" s="62" t="s">
        <v>34</v>
      </c>
      <c r="D27" s="62" t="s">
        <v>35</v>
      </c>
      <c r="E27" s="57" t="s">
        <v>36</v>
      </c>
      <c r="F27" s="58"/>
      <c r="G27" s="59"/>
      <c r="H27" s="43" t="s">
        <v>37</v>
      </c>
      <c r="I27" s="44"/>
    </row>
    <row r="28" spans="1:9" ht="35.1" customHeight="1" x14ac:dyDescent="0.25">
      <c r="A28" s="1" t="s">
        <v>38</v>
      </c>
      <c r="B28" s="19" t="s">
        <v>39</v>
      </c>
      <c r="C28" s="20" t="s">
        <v>40</v>
      </c>
      <c r="D28" s="63">
        <f>IFERROR(B12/(G15*B18*B21), 0)</f>
        <v>0</v>
      </c>
      <c r="E28" s="54" t="str">
        <f>IF(D28&lt;=0.34, "Hoher Rohrwärmeanteil: Mindestens 20 % der Heizwärme entweichen ungemessen über freiliegende Rohre.", "Normaler Rohrwärmeanteil: Die Heizwärme wird überwiegend ordnungsgemäß an den Heizkörpern erfasst.")</f>
        <v>Hoher Rohrwärmeanteil: Mindestens 20 % der Heizwärme entweichen ungemessen über freiliegende Rohre.</v>
      </c>
      <c r="F28" s="55"/>
      <c r="G28" s="56"/>
      <c r="H28" s="39" t="str">
        <f>IF(AND(D28&lt;=0.34,D28&lt;&gt;0), "✔ ERFÜLLT", "✘ NICHT ERFÜLLT")</f>
        <v>✘ NICHT ERFÜLLT</v>
      </c>
      <c r="I28" s="40"/>
    </row>
    <row r="29" spans="1:9" ht="35.1" customHeight="1" x14ac:dyDescent="0.25">
      <c r="A29" s="1" t="s">
        <v>41</v>
      </c>
      <c r="B29" s="19" t="s">
        <v>42</v>
      </c>
      <c r="C29" s="20" t="s">
        <v>43</v>
      </c>
      <c r="D29" s="64">
        <f>IFERROR(MAX(B50:Z50), 0)</f>
        <v>0</v>
      </c>
      <c r="E29" s="54" t="str">
        <f>IF(D29&gt;=0.1, "Wesentliche Ungerechtigkeit: Mindestens ein Mieter wird ohne Korrektur um über 10 % zu hoch belastet.", "Geringe Kostenverschiebung: Kein Nutzer wird um 10 % oder mehr übermäßig belastet.")</f>
        <v>Geringe Kostenverschiebung: Kein Nutzer wird um 10 % oder mehr übermäßig belastet.</v>
      </c>
      <c r="F29" s="55"/>
      <c r="G29" s="56"/>
      <c r="H29" s="39" t="str">
        <f>IF(D29&gt;=0.1, "✔ ERFÜLLT", "✘ NICHT ERFÜLLT")</f>
        <v>✘ NICHT ERFÜLLT</v>
      </c>
      <c r="I29" s="40"/>
    </row>
    <row r="30" spans="1:9" ht="35.1" customHeight="1" x14ac:dyDescent="0.25">
      <c r="A30" s="1" t="s">
        <v>44</v>
      </c>
      <c r="B30" s="19" t="s">
        <v>45</v>
      </c>
      <c r="C30" s="20" t="s">
        <v>46</v>
      </c>
      <c r="D30" s="63">
        <f>IFERROR(_xlfn.STDEV.S(B42:Z42), 0)</f>
        <v>0</v>
      </c>
      <c r="E30" s="54" t="str">
        <f>IF(D30&gt;=0.85, "Starke Verbrauchsspreizung: Extrem unterschiedliches Heizverhalten verstärkt die Kostenverzerrung.", "Ausgeglichenes Heizverhalten: Mieter heizen relativ gleichmäßig; keine extreme Streuung.")</f>
        <v>Ausgeglichenes Heizverhalten: Mieter heizen relativ gleichmäßig; keine extreme Streuung.</v>
      </c>
      <c r="F30" s="55"/>
      <c r="G30" s="56"/>
      <c r="H30" s="39" t="str">
        <f>IF(D30&gt;=0.85, "✔ ERFÜLLT", "✘ NICHT ERFÜLLT")</f>
        <v>✘ NICHT ERFÜLLT</v>
      </c>
      <c r="I30" s="40"/>
    </row>
    <row r="31" spans="1:9" ht="35.1" customHeight="1" x14ac:dyDescent="0.25">
      <c r="A31" s="1" t="s">
        <v>47</v>
      </c>
      <c r="B31" s="19" t="s">
        <v>48</v>
      </c>
      <c r="C31" s="20" t="s">
        <v>49</v>
      </c>
      <c r="D31" s="63">
        <f>IFERROR(MEDIAN(B42:Z42), 0)</f>
        <v>0</v>
      </c>
      <c r="E31" s="54" t="str">
        <f>IF(D31&lt;=0.9, "Viele Niedrigverbraucher: Mehrheit der Wohnungen heizt passiv über freiliegende Rohrstränge mit.", "Gleichmäßige Verteilung: Der Verbrauch der Wohnungen verteilt sich symmetrisch um den Schnitt.")</f>
        <v>Viele Niedrigverbraucher: Mehrheit der Wohnungen heizt passiv über freiliegende Rohrstränge mit.</v>
      </c>
      <c r="F31" s="55"/>
      <c r="G31" s="56"/>
      <c r="H31" s="39" t="str">
        <f>IF(AND(D31&lt;=0.9,D31&lt;&gt;0), "✔ ERFÜLLT", "✘ NICHT ERFÜLLT")</f>
        <v>✘ NICHT ERFÜLLT</v>
      </c>
      <c r="I31" s="40"/>
    </row>
    <row r="32" spans="1:9" ht="35.1" customHeight="1" x14ac:dyDescent="0.25">
      <c r="A32" s="1" t="s">
        <v>50</v>
      </c>
      <c r="B32" s="19" t="s">
        <v>51</v>
      </c>
      <c r="C32" s="20" t="s">
        <v>52</v>
      </c>
      <c r="D32" s="63">
        <f>IFERROR(MAX(B42:Z42), 0)</f>
        <v>0</v>
      </c>
      <c r="E32" s="54" t="str">
        <f>IF(D32&gt;=3, "Extreme Spitzenverbraucher: Einzelne Wohnungen zahlen ohne Korrektur massiv für Nachbarn mit.", "Keine extremen Ausreißer vorhanden.")</f>
        <v>Keine extremen Ausreißer vorhanden.</v>
      </c>
      <c r="F32" s="55"/>
      <c r="G32" s="56"/>
      <c r="H32" s="39" t="str">
        <f>IF(D32&gt;=3, "✔ ERFÜLLT", "✘ NICHT ERFÜLLT")</f>
        <v>✘ NICHT ERFÜLLT</v>
      </c>
      <c r="I32" s="40"/>
    </row>
    <row r="33" spans="1:27" ht="15.75" thickBot="1" x14ac:dyDescent="0.3"/>
    <row r="34" spans="1:27" ht="24" customHeight="1" thickBot="1" x14ac:dyDescent="0.3">
      <c r="A34" s="72" t="s">
        <v>53</v>
      </c>
      <c r="B34" s="77" t="str">
        <f>IF(B13=0, "", IFERROR(IF(AND(D28&lt;=0.34, D29&gt;=0.1, OR(D30&gt;=0.85, AND(D31&lt;=0.9, D32&gt;=3))), MAX(0, (0.43 - D28) * G15 * B18 * B21), 0), 0))</f>
        <v/>
      </c>
      <c r="C34" s="74"/>
      <c r="D34" s="78" t="s">
        <v>54</v>
      </c>
      <c r="E34" s="78"/>
      <c r="F34" s="76" t="str">
        <f>IFERROR(IF(OR(B12="", B12=0), "", B12 + IFERROR(B34, 0)), "")</f>
        <v/>
      </c>
      <c r="G34" s="74"/>
      <c r="H34" s="74"/>
      <c r="I34" s="74"/>
    </row>
    <row r="35" spans="1:27" ht="24" customHeight="1" x14ac:dyDescent="0.25">
      <c r="A35" s="60"/>
      <c r="B35" s="61"/>
      <c r="D35" s="60"/>
      <c r="F35" s="61"/>
    </row>
    <row r="36" spans="1:27" ht="24" customHeight="1" x14ac:dyDescent="0.25">
      <c r="A36" s="36" t="s">
        <v>55</v>
      </c>
      <c r="B36" s="37"/>
      <c r="C36" s="37"/>
      <c r="D36" s="37"/>
      <c r="E36" s="37"/>
      <c r="F36" s="37"/>
      <c r="G36" s="37"/>
      <c r="H36" s="37"/>
      <c r="I36" s="37"/>
      <c r="J36" s="37"/>
      <c r="K36" s="37"/>
      <c r="L36" s="37"/>
      <c r="M36" s="37"/>
      <c r="N36" s="37"/>
      <c r="O36" s="37"/>
      <c r="P36" s="37"/>
      <c r="Q36" s="37"/>
      <c r="R36" s="37"/>
      <c r="S36" s="37"/>
      <c r="T36" s="37"/>
      <c r="U36" s="37"/>
      <c r="V36" s="37"/>
      <c r="W36" s="37"/>
      <c r="X36" s="37"/>
      <c r="Y36" s="37"/>
      <c r="Z36" s="37"/>
    </row>
    <row r="37" spans="1:27" ht="20.100000000000001" customHeight="1" x14ac:dyDescent="0.25">
      <c r="A37" s="21" t="s">
        <v>56</v>
      </c>
      <c r="B37" s="18">
        <v>1</v>
      </c>
      <c r="C37" s="18">
        <v>2</v>
      </c>
      <c r="D37" s="18">
        <v>3</v>
      </c>
      <c r="E37" s="18">
        <v>4</v>
      </c>
      <c r="F37" s="18">
        <v>5</v>
      </c>
      <c r="G37" s="18">
        <v>6</v>
      </c>
      <c r="H37" s="18">
        <v>7</v>
      </c>
      <c r="I37" s="18">
        <v>8</v>
      </c>
      <c r="J37" s="18">
        <v>9</v>
      </c>
      <c r="K37" s="18">
        <v>10</v>
      </c>
      <c r="L37" s="18">
        <v>11</v>
      </c>
      <c r="M37" s="18">
        <v>12</v>
      </c>
      <c r="N37" s="18">
        <v>13</v>
      </c>
      <c r="O37" s="18">
        <v>14</v>
      </c>
      <c r="P37" s="18">
        <v>15</v>
      </c>
      <c r="Q37" s="18">
        <v>16</v>
      </c>
      <c r="R37" s="18">
        <v>17</v>
      </c>
      <c r="S37" s="18">
        <v>18</v>
      </c>
      <c r="T37" s="18">
        <v>19</v>
      </c>
      <c r="U37" s="18">
        <v>20</v>
      </c>
      <c r="V37" s="18">
        <v>21</v>
      </c>
      <c r="W37" s="18">
        <v>22</v>
      </c>
      <c r="X37" s="18">
        <v>23</v>
      </c>
      <c r="Y37" s="18">
        <v>24</v>
      </c>
      <c r="Z37" s="18">
        <v>25</v>
      </c>
      <c r="AA37" s="18" t="s">
        <v>57</v>
      </c>
    </row>
    <row r="38" spans="1:27" ht="20.100000000000001" customHeight="1" x14ac:dyDescent="0.25">
      <c r="A38" s="21" t="s">
        <v>58</v>
      </c>
      <c r="B38" s="3"/>
      <c r="C38" s="3"/>
      <c r="D38" s="3"/>
      <c r="E38" s="3"/>
      <c r="F38" s="3"/>
      <c r="G38" s="3"/>
      <c r="H38" s="3"/>
      <c r="I38" s="3"/>
      <c r="J38" s="3"/>
      <c r="K38" s="3"/>
      <c r="L38" s="3"/>
      <c r="M38" s="3"/>
      <c r="N38" s="3"/>
      <c r="O38" s="3"/>
      <c r="P38" s="3"/>
      <c r="Q38" s="3"/>
      <c r="R38" s="3"/>
      <c r="S38" s="3"/>
      <c r="T38" s="3"/>
      <c r="U38" s="3"/>
      <c r="V38" s="3"/>
      <c r="W38" s="3"/>
      <c r="X38" s="3"/>
      <c r="Y38" s="3"/>
      <c r="Z38" s="3"/>
      <c r="AA38" s="24" t="s">
        <v>59</v>
      </c>
    </row>
    <row r="39" spans="1:27" ht="20.100000000000001" customHeight="1" x14ac:dyDescent="0.25">
      <c r="A39" s="21" t="s">
        <v>60</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6">
        <f>SUM(B39:Z39)</f>
        <v>0</v>
      </c>
    </row>
    <row r="40" spans="1:27" ht="20.100000000000001" customHeight="1" x14ac:dyDescent="0.25">
      <c r="A40" s="21" t="s">
        <v>61</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65">
        <f>SUM(B40:Z40)</f>
        <v>0</v>
      </c>
    </row>
    <row r="41" spans="1:27" ht="20.100000000000001" customHeight="1" x14ac:dyDescent="0.25">
      <c r="A41" s="21" t="s">
        <v>62</v>
      </c>
      <c r="B41" s="28" t="str">
        <f t="shared" ref="B41:Z41" si="0">IF(OR(B39="", B39&lt;=0), "", IFERROR(B40/B39, ""))</f>
        <v/>
      </c>
      <c r="C41" s="28" t="str">
        <f t="shared" si="0"/>
        <v/>
      </c>
      <c r="D41" s="28" t="str">
        <f t="shared" si="0"/>
        <v/>
      </c>
      <c r="E41" s="28" t="str">
        <f t="shared" si="0"/>
        <v/>
      </c>
      <c r="F41" s="28" t="str">
        <f t="shared" si="0"/>
        <v/>
      </c>
      <c r="G41" s="28" t="str">
        <f t="shared" si="0"/>
        <v/>
      </c>
      <c r="H41" s="28" t="str">
        <f t="shared" si="0"/>
        <v/>
      </c>
      <c r="I41" s="28" t="str">
        <f t="shared" si="0"/>
        <v/>
      </c>
      <c r="J41" s="28" t="str">
        <f t="shared" si="0"/>
        <v/>
      </c>
      <c r="K41" s="28" t="str">
        <f t="shared" si="0"/>
        <v/>
      </c>
      <c r="L41" s="28" t="str">
        <f t="shared" si="0"/>
        <v/>
      </c>
      <c r="M41" s="28" t="str">
        <f t="shared" si="0"/>
        <v/>
      </c>
      <c r="N41" s="28" t="str">
        <f t="shared" si="0"/>
        <v/>
      </c>
      <c r="O41" s="28" t="str">
        <f t="shared" si="0"/>
        <v/>
      </c>
      <c r="P41" s="28" t="str">
        <f t="shared" si="0"/>
        <v/>
      </c>
      <c r="Q41" s="28" t="str">
        <f t="shared" si="0"/>
        <v/>
      </c>
      <c r="R41" s="28" t="str">
        <f t="shared" si="0"/>
        <v/>
      </c>
      <c r="S41" s="28" t="str">
        <f t="shared" si="0"/>
        <v/>
      </c>
      <c r="T41" s="28" t="str">
        <f t="shared" si="0"/>
        <v/>
      </c>
      <c r="U41" s="28" t="str">
        <f t="shared" si="0"/>
        <v/>
      </c>
      <c r="V41" s="28" t="str">
        <f t="shared" si="0"/>
        <v/>
      </c>
      <c r="W41" s="28" t="str">
        <f t="shared" si="0"/>
        <v/>
      </c>
      <c r="X41" s="28" t="str">
        <f t="shared" si="0"/>
        <v/>
      </c>
      <c r="Y41" s="28" t="str">
        <f t="shared" si="0"/>
        <v/>
      </c>
      <c r="Z41" s="28" t="str">
        <f t="shared" si="0"/>
        <v/>
      </c>
      <c r="AA41" s="27">
        <f>IFERROR(AA40/AA39, 0)</f>
        <v>0</v>
      </c>
    </row>
    <row r="42" spans="1:27" ht="20.100000000000001" customHeight="1" x14ac:dyDescent="0.25">
      <c r="A42" s="21" t="s">
        <v>63</v>
      </c>
      <c r="B42" s="16" t="str">
        <f t="shared" ref="B42:Z42" si="1">IF(B41="", "", IFERROR(B41/AVERAGE($B$41:$Z$41), ""))</f>
        <v/>
      </c>
      <c r="C42" s="16" t="str">
        <f t="shared" si="1"/>
        <v/>
      </c>
      <c r="D42" s="16" t="str">
        <f t="shared" si="1"/>
        <v/>
      </c>
      <c r="E42" s="16" t="str">
        <f t="shared" si="1"/>
        <v/>
      </c>
      <c r="F42" s="16" t="str">
        <f t="shared" si="1"/>
        <v/>
      </c>
      <c r="G42" s="16" t="str">
        <f t="shared" si="1"/>
        <v/>
      </c>
      <c r="H42" s="16" t="str">
        <f t="shared" si="1"/>
        <v/>
      </c>
      <c r="I42" s="16" t="str">
        <f t="shared" si="1"/>
        <v/>
      </c>
      <c r="J42" s="16" t="str">
        <f t="shared" si="1"/>
        <v/>
      </c>
      <c r="K42" s="16" t="str">
        <f t="shared" si="1"/>
        <v/>
      </c>
      <c r="L42" s="16" t="str">
        <f t="shared" si="1"/>
        <v/>
      </c>
      <c r="M42" s="16" t="str">
        <f t="shared" si="1"/>
        <v/>
      </c>
      <c r="N42" s="16" t="str">
        <f t="shared" si="1"/>
        <v/>
      </c>
      <c r="O42" s="16" t="str">
        <f t="shared" si="1"/>
        <v/>
      </c>
      <c r="P42" s="16" t="str">
        <f t="shared" si="1"/>
        <v/>
      </c>
      <c r="Q42" s="16" t="str">
        <f t="shared" si="1"/>
        <v/>
      </c>
      <c r="R42" s="16" t="str">
        <f t="shared" si="1"/>
        <v/>
      </c>
      <c r="S42" s="16" t="str">
        <f t="shared" si="1"/>
        <v/>
      </c>
      <c r="T42" s="16" t="str">
        <f t="shared" si="1"/>
        <v/>
      </c>
      <c r="U42" s="16" t="str">
        <f t="shared" si="1"/>
        <v/>
      </c>
      <c r="V42" s="16" t="str">
        <f t="shared" si="1"/>
        <v/>
      </c>
      <c r="W42" s="16" t="str">
        <f t="shared" si="1"/>
        <v/>
      </c>
      <c r="X42" s="16" t="str">
        <f t="shared" si="1"/>
        <v/>
      </c>
      <c r="Y42" s="16" t="str">
        <f t="shared" si="1"/>
        <v/>
      </c>
      <c r="Z42" s="16" t="str">
        <f t="shared" si="1"/>
        <v/>
      </c>
      <c r="AA42" s="24"/>
    </row>
    <row r="43" spans="1:27" ht="20.100000000000001" customHeight="1" x14ac:dyDescent="0.25">
      <c r="A43" s="21" t="s">
        <v>64</v>
      </c>
      <c r="B43" s="29" t="str">
        <f t="shared" ref="B43:Z43" si="2">IF(B39="", "", IFERROR(($B$9/$B$11)*B39, ""))</f>
        <v/>
      </c>
      <c r="C43" s="29" t="str">
        <f t="shared" si="2"/>
        <v/>
      </c>
      <c r="D43" s="29" t="str">
        <f t="shared" si="2"/>
        <v/>
      </c>
      <c r="E43" s="29" t="str">
        <f t="shared" si="2"/>
        <v/>
      </c>
      <c r="F43" s="29" t="str">
        <f t="shared" si="2"/>
        <v/>
      </c>
      <c r="G43" s="29" t="str">
        <f t="shared" si="2"/>
        <v/>
      </c>
      <c r="H43" s="29" t="str">
        <f t="shared" si="2"/>
        <v/>
      </c>
      <c r="I43" s="29" t="str">
        <f t="shared" si="2"/>
        <v/>
      </c>
      <c r="J43" s="29" t="str">
        <f t="shared" si="2"/>
        <v/>
      </c>
      <c r="K43" s="29" t="str">
        <f t="shared" si="2"/>
        <v/>
      </c>
      <c r="L43" s="29" t="str">
        <f t="shared" si="2"/>
        <v/>
      </c>
      <c r="M43" s="29" t="str">
        <f t="shared" si="2"/>
        <v/>
      </c>
      <c r="N43" s="29" t="str">
        <f t="shared" si="2"/>
        <v/>
      </c>
      <c r="O43" s="29" t="str">
        <f t="shared" si="2"/>
        <v/>
      </c>
      <c r="P43" s="29" t="str">
        <f t="shared" si="2"/>
        <v/>
      </c>
      <c r="Q43" s="29" t="str">
        <f t="shared" si="2"/>
        <v/>
      </c>
      <c r="R43" s="29" t="str">
        <f t="shared" si="2"/>
        <v/>
      </c>
      <c r="S43" s="29" t="str">
        <f t="shared" si="2"/>
        <v/>
      </c>
      <c r="T43" s="29" t="str">
        <f t="shared" si="2"/>
        <v/>
      </c>
      <c r="U43" s="29" t="str">
        <f t="shared" si="2"/>
        <v/>
      </c>
      <c r="V43" s="29" t="str">
        <f t="shared" si="2"/>
        <v/>
      </c>
      <c r="W43" s="29" t="str">
        <f t="shared" si="2"/>
        <v/>
      </c>
      <c r="X43" s="29" t="str">
        <f t="shared" si="2"/>
        <v/>
      </c>
      <c r="Y43" s="29" t="str">
        <f t="shared" si="2"/>
        <v/>
      </c>
      <c r="Z43" s="29" t="str">
        <f t="shared" si="2"/>
        <v/>
      </c>
      <c r="AA43" s="30">
        <f t="shared" ref="AA43:AA49" si="3">SUM(B43:Z43)</f>
        <v>0</v>
      </c>
    </row>
    <row r="44" spans="1:27" ht="20.100000000000001" customHeight="1" x14ac:dyDescent="0.25">
      <c r="A44" s="21" t="s">
        <v>65</v>
      </c>
      <c r="B44" s="29" t="str">
        <f t="shared" ref="B44:Z44" si="4">IF(B40="", "", IFERROR(($B$10/$B$12)*B40, ""))</f>
        <v/>
      </c>
      <c r="C44" s="29" t="str">
        <f t="shared" si="4"/>
        <v/>
      </c>
      <c r="D44" s="29" t="str">
        <f t="shared" si="4"/>
        <v/>
      </c>
      <c r="E44" s="29" t="str">
        <f t="shared" si="4"/>
        <v/>
      </c>
      <c r="F44" s="29" t="str">
        <f t="shared" si="4"/>
        <v/>
      </c>
      <c r="G44" s="29" t="str">
        <f t="shared" si="4"/>
        <v/>
      </c>
      <c r="H44" s="29" t="str">
        <f t="shared" si="4"/>
        <v/>
      </c>
      <c r="I44" s="29" t="str">
        <f t="shared" si="4"/>
        <v/>
      </c>
      <c r="J44" s="29" t="str">
        <f t="shared" si="4"/>
        <v/>
      </c>
      <c r="K44" s="29" t="str">
        <f t="shared" si="4"/>
        <v/>
      </c>
      <c r="L44" s="29" t="str">
        <f t="shared" si="4"/>
        <v/>
      </c>
      <c r="M44" s="29" t="str">
        <f t="shared" si="4"/>
        <v/>
      </c>
      <c r="N44" s="29" t="str">
        <f t="shared" si="4"/>
        <v/>
      </c>
      <c r="O44" s="29" t="str">
        <f t="shared" si="4"/>
        <v/>
      </c>
      <c r="P44" s="29" t="str">
        <f t="shared" si="4"/>
        <v/>
      </c>
      <c r="Q44" s="29" t="str">
        <f t="shared" si="4"/>
        <v/>
      </c>
      <c r="R44" s="29" t="str">
        <f t="shared" si="4"/>
        <v/>
      </c>
      <c r="S44" s="29" t="str">
        <f t="shared" si="4"/>
        <v/>
      </c>
      <c r="T44" s="29" t="str">
        <f t="shared" si="4"/>
        <v/>
      </c>
      <c r="U44" s="29" t="str">
        <f t="shared" si="4"/>
        <v/>
      </c>
      <c r="V44" s="29" t="str">
        <f t="shared" si="4"/>
        <v/>
      </c>
      <c r="W44" s="29" t="str">
        <f t="shared" si="4"/>
        <v/>
      </c>
      <c r="X44" s="29" t="str">
        <f t="shared" si="4"/>
        <v/>
      </c>
      <c r="Y44" s="29" t="str">
        <f t="shared" si="4"/>
        <v/>
      </c>
      <c r="Z44" s="29" t="str">
        <f t="shared" si="4"/>
        <v/>
      </c>
      <c r="AA44" s="30">
        <f t="shared" si="3"/>
        <v>0</v>
      </c>
    </row>
    <row r="45" spans="1:27" ht="20.100000000000001" customHeight="1" x14ac:dyDescent="0.25">
      <c r="A45" s="14" t="s">
        <v>66</v>
      </c>
      <c r="B45" s="7" t="str">
        <f t="shared" ref="B45:Z45" si="5">IF(B39="", "", IFERROR(B43+B44, ""))</f>
        <v/>
      </c>
      <c r="C45" s="7" t="str">
        <f t="shared" si="5"/>
        <v/>
      </c>
      <c r="D45" s="7" t="str">
        <f t="shared" si="5"/>
        <v/>
      </c>
      <c r="E45" s="7" t="str">
        <f t="shared" si="5"/>
        <v/>
      </c>
      <c r="F45" s="7" t="str">
        <f t="shared" si="5"/>
        <v/>
      </c>
      <c r="G45" s="7" t="str">
        <f t="shared" si="5"/>
        <v/>
      </c>
      <c r="H45" s="7" t="str">
        <f t="shared" si="5"/>
        <v/>
      </c>
      <c r="I45" s="7" t="str">
        <f t="shared" si="5"/>
        <v/>
      </c>
      <c r="J45" s="7" t="str">
        <f t="shared" si="5"/>
        <v/>
      </c>
      <c r="K45" s="7" t="str">
        <f t="shared" si="5"/>
        <v/>
      </c>
      <c r="L45" s="7" t="str">
        <f t="shared" si="5"/>
        <v/>
      </c>
      <c r="M45" s="7" t="str">
        <f t="shared" si="5"/>
        <v/>
      </c>
      <c r="N45" s="7" t="str">
        <f t="shared" si="5"/>
        <v/>
      </c>
      <c r="O45" s="7" t="str">
        <f t="shared" si="5"/>
        <v/>
      </c>
      <c r="P45" s="7" t="str">
        <f t="shared" si="5"/>
        <v/>
      </c>
      <c r="Q45" s="7" t="str">
        <f t="shared" si="5"/>
        <v/>
      </c>
      <c r="R45" s="7" t="str">
        <f t="shared" si="5"/>
        <v/>
      </c>
      <c r="S45" s="7" t="str">
        <f t="shared" si="5"/>
        <v/>
      </c>
      <c r="T45" s="7" t="str">
        <f t="shared" si="5"/>
        <v/>
      </c>
      <c r="U45" s="7" t="str">
        <f t="shared" si="5"/>
        <v/>
      </c>
      <c r="V45" s="7" t="str">
        <f t="shared" si="5"/>
        <v/>
      </c>
      <c r="W45" s="7" t="str">
        <f t="shared" si="5"/>
        <v/>
      </c>
      <c r="X45" s="7" t="str">
        <f t="shared" si="5"/>
        <v/>
      </c>
      <c r="Y45" s="7" t="str">
        <f t="shared" si="5"/>
        <v/>
      </c>
      <c r="Z45" s="7" t="str">
        <f t="shared" si="5"/>
        <v/>
      </c>
      <c r="AA45" s="30">
        <f t="shared" si="3"/>
        <v>0</v>
      </c>
    </row>
    <row r="46" spans="1:27" ht="20.100000000000001" customHeight="1" x14ac:dyDescent="0.25">
      <c r="A46" s="21" t="s">
        <v>67</v>
      </c>
      <c r="B46" s="28" t="str">
        <f>IF(B39="", "", IFERROR($B$34*(B39/$B$11), ""))</f>
        <v/>
      </c>
      <c r="C46" s="28" t="str">
        <f>IF(C39="", "", IFERROR($B$34*(C39/$B$11), ""))</f>
        <v/>
      </c>
      <c r="D46" s="28" t="str">
        <f>IF(D39="", "", IFERROR($B$34*(D39/$B$11), ""))</f>
        <v/>
      </c>
      <c r="E46" s="28" t="str">
        <f>IF(E39="", "", IFERROR($B$34*(E39/$B$11), ""))</f>
        <v/>
      </c>
      <c r="F46" s="28" t="str">
        <f>IF(F39="", "", IFERROR($B$34*(F39/$B$11), ""))</f>
        <v/>
      </c>
      <c r="G46" s="28" t="str">
        <f>IF(G39="", "", IFERROR($B$34*(G39/$B$11), ""))</f>
        <v/>
      </c>
      <c r="H46" s="28" t="str">
        <f>IF(H39="", "", IFERROR($B$34*(H39/$B$11), ""))</f>
        <v/>
      </c>
      <c r="I46" s="28" t="str">
        <f>IF(I39="", "", IFERROR($B$34*(I39/$B$11), ""))</f>
        <v/>
      </c>
      <c r="J46" s="28" t="str">
        <f>IF(J39="", "", IFERROR($B$34*(J39/$B$11), ""))</f>
        <v/>
      </c>
      <c r="K46" s="28" t="str">
        <f>IF(K39="", "", IFERROR($B$34*(K39/$B$11), ""))</f>
        <v/>
      </c>
      <c r="L46" s="28" t="str">
        <f>IF(L39="", "", IFERROR($B$34*(L39/$B$11), ""))</f>
        <v/>
      </c>
      <c r="M46" s="28" t="str">
        <f>IF(M39="", "", IFERROR($B$34*(M39/$B$11), ""))</f>
        <v/>
      </c>
      <c r="N46" s="28" t="str">
        <f>IF(N39="", "", IFERROR($B$34*(N39/$B$11), ""))</f>
        <v/>
      </c>
      <c r="O46" s="28" t="str">
        <f>IF(O39="", "", IFERROR($B$34*(O39/$B$11), ""))</f>
        <v/>
      </c>
      <c r="P46" s="28" t="str">
        <f>IF(P39="", "", IFERROR($B$34*(P39/$B$11), ""))</f>
        <v/>
      </c>
      <c r="Q46" s="28" t="str">
        <f>IF(Q39="", "", IFERROR($B$34*(Q39/$B$11), ""))</f>
        <v/>
      </c>
      <c r="R46" s="28" t="str">
        <f>IF(R39="", "", IFERROR($B$34*(R39/$B$11), ""))</f>
        <v/>
      </c>
      <c r="S46" s="28" t="str">
        <f>IF(S39="", "", IFERROR($B$34*(S39/$B$11), ""))</f>
        <v/>
      </c>
      <c r="T46" s="28" t="str">
        <f>IF(T39="", "", IFERROR($B$34*(T39/$B$11), ""))</f>
        <v/>
      </c>
      <c r="U46" s="28" t="str">
        <f>IF(U39="", "", IFERROR($B$34*(U39/$B$11), ""))</f>
        <v/>
      </c>
      <c r="V46" s="28" t="str">
        <f>IF(V39="", "", IFERROR($B$34*(V39/$B$11), ""))</f>
        <v/>
      </c>
      <c r="W46" s="28" t="str">
        <f>IF(W39="", "", IFERROR($B$34*(W39/$B$11), ""))</f>
        <v/>
      </c>
      <c r="X46" s="28" t="str">
        <f>IF(X39="", "", IFERROR($B$34*(X39/$B$11), ""))</f>
        <v/>
      </c>
      <c r="Y46" s="28" t="str">
        <f>IF(Y39="", "", IFERROR($B$34*(Y39/$B$11), ""))</f>
        <v/>
      </c>
      <c r="Z46" s="28" t="str">
        <f>IF(Z39="", "", IFERROR($B$34*(Z39/$B$11), ""))</f>
        <v/>
      </c>
      <c r="AA46" s="65">
        <f t="shared" si="3"/>
        <v>0</v>
      </c>
    </row>
    <row r="47" spans="1:27" ht="20.100000000000001" customHeight="1" x14ac:dyDescent="0.25">
      <c r="A47" s="21" t="s">
        <v>68</v>
      </c>
      <c r="B47" s="11" t="str">
        <f t="shared" ref="B47:Z47" si="6">IF(B39="", "", IFERROR(B40+B46, ""))</f>
        <v/>
      </c>
      <c r="C47" s="11" t="str">
        <f t="shared" si="6"/>
        <v/>
      </c>
      <c r="D47" s="11" t="str">
        <f t="shared" si="6"/>
        <v/>
      </c>
      <c r="E47" s="11" t="str">
        <f t="shared" si="6"/>
        <v/>
      </c>
      <c r="F47" s="11" t="str">
        <f t="shared" si="6"/>
        <v/>
      </c>
      <c r="G47" s="11" t="str">
        <f t="shared" si="6"/>
        <v/>
      </c>
      <c r="H47" s="11" t="str">
        <f t="shared" si="6"/>
        <v/>
      </c>
      <c r="I47" s="11" t="str">
        <f t="shared" si="6"/>
        <v/>
      </c>
      <c r="J47" s="11" t="str">
        <f t="shared" si="6"/>
        <v/>
      </c>
      <c r="K47" s="11" t="str">
        <f t="shared" si="6"/>
        <v/>
      </c>
      <c r="L47" s="11" t="str">
        <f t="shared" si="6"/>
        <v/>
      </c>
      <c r="M47" s="11" t="str">
        <f t="shared" si="6"/>
        <v/>
      </c>
      <c r="N47" s="11" t="str">
        <f t="shared" si="6"/>
        <v/>
      </c>
      <c r="O47" s="11" t="str">
        <f t="shared" si="6"/>
        <v/>
      </c>
      <c r="P47" s="11" t="str">
        <f t="shared" si="6"/>
        <v/>
      </c>
      <c r="Q47" s="11" t="str">
        <f t="shared" si="6"/>
        <v/>
      </c>
      <c r="R47" s="11" t="str">
        <f t="shared" si="6"/>
        <v/>
      </c>
      <c r="S47" s="11" t="str">
        <f t="shared" si="6"/>
        <v/>
      </c>
      <c r="T47" s="11" t="str">
        <f t="shared" si="6"/>
        <v/>
      </c>
      <c r="U47" s="11" t="str">
        <f t="shared" si="6"/>
        <v/>
      </c>
      <c r="V47" s="11" t="str">
        <f t="shared" si="6"/>
        <v/>
      </c>
      <c r="W47" s="11" t="str">
        <f t="shared" si="6"/>
        <v/>
      </c>
      <c r="X47" s="11" t="str">
        <f t="shared" si="6"/>
        <v/>
      </c>
      <c r="Y47" s="11" t="str">
        <f t="shared" si="6"/>
        <v/>
      </c>
      <c r="Z47" s="11" t="str">
        <f t="shared" si="6"/>
        <v/>
      </c>
      <c r="AA47" s="65">
        <f t="shared" si="3"/>
        <v>0</v>
      </c>
    </row>
    <row r="48" spans="1:27" ht="20.100000000000001" customHeight="1" x14ac:dyDescent="0.25">
      <c r="A48" s="21" t="s">
        <v>69</v>
      </c>
      <c r="B48" s="29" t="str">
        <f>IF(B39="", "", IFERROR(($B$10/$F$34)*B47, ""))</f>
        <v/>
      </c>
      <c r="C48" s="29" t="str">
        <f>IF(C39="", "", IFERROR(($B$10/$F$34)*C47, ""))</f>
        <v/>
      </c>
      <c r="D48" s="29" t="str">
        <f>IF(D39="", "", IFERROR(($B$10/$F$34)*D47, ""))</f>
        <v/>
      </c>
      <c r="E48" s="29" t="str">
        <f>IF(E39="", "", IFERROR(($B$10/$F$34)*E47, ""))</f>
        <v/>
      </c>
      <c r="F48" s="29" t="str">
        <f>IF(F39="", "", IFERROR(($B$10/$F$34)*F47, ""))</f>
        <v/>
      </c>
      <c r="G48" s="29" t="str">
        <f>IF(G39="", "", IFERROR(($B$10/$F$34)*G47, ""))</f>
        <v/>
      </c>
      <c r="H48" s="29" t="str">
        <f>IF(H39="", "", IFERROR(($B$10/$F$34)*H47, ""))</f>
        <v/>
      </c>
      <c r="I48" s="29" t="str">
        <f>IF(I39="", "", IFERROR(($B$10/$F$34)*I47, ""))</f>
        <v/>
      </c>
      <c r="J48" s="29" t="str">
        <f>IF(J39="", "", IFERROR(($B$10/$F$34)*J47, ""))</f>
        <v/>
      </c>
      <c r="K48" s="29" t="str">
        <f>IF(K39="", "", IFERROR(($B$10/$F$34)*K47, ""))</f>
        <v/>
      </c>
      <c r="L48" s="29" t="str">
        <f>IF(L39="", "", IFERROR(($B$10/$F$34)*L47, ""))</f>
        <v/>
      </c>
      <c r="M48" s="29" t="str">
        <f>IF(M39="", "", IFERROR(($B$10/$F$34)*M47, ""))</f>
        <v/>
      </c>
      <c r="N48" s="29" t="str">
        <f>IF(N39="", "", IFERROR(($B$10/$F$34)*N47, ""))</f>
        <v/>
      </c>
      <c r="O48" s="29" t="str">
        <f>IF(O39="", "", IFERROR(($B$10/$F$34)*O47, ""))</f>
        <v/>
      </c>
      <c r="P48" s="29" t="str">
        <f>IF(P39="", "", IFERROR(($B$10/$F$34)*P47, ""))</f>
        <v/>
      </c>
      <c r="Q48" s="29" t="str">
        <f>IF(Q39="", "", IFERROR(($B$10/$F$34)*Q47, ""))</f>
        <v/>
      </c>
      <c r="R48" s="29" t="str">
        <f>IF(R39="", "", IFERROR(($B$10/$F$34)*R47, ""))</f>
        <v/>
      </c>
      <c r="S48" s="29" t="str">
        <f>IF(S39="", "", IFERROR(($B$10/$F$34)*S47, ""))</f>
        <v/>
      </c>
      <c r="T48" s="29" t="str">
        <f>IF(T39="", "", IFERROR(($B$10/$F$34)*T47, ""))</f>
        <v/>
      </c>
      <c r="U48" s="29" t="str">
        <f>IF(U39="", "", IFERROR(($B$10/$F$34)*U47, ""))</f>
        <v/>
      </c>
      <c r="V48" s="29" t="str">
        <f>IF(V39="", "", IFERROR(($B$10/$F$34)*V47, ""))</f>
        <v/>
      </c>
      <c r="W48" s="29" t="str">
        <f>IF(W39="", "", IFERROR(($B$10/$F$34)*W47, ""))</f>
        <v/>
      </c>
      <c r="X48" s="29" t="str">
        <f>IF(X39="", "", IFERROR(($B$10/$F$34)*X47, ""))</f>
        <v/>
      </c>
      <c r="Y48" s="29" t="str">
        <f>IF(Y39="", "", IFERROR(($B$10/$F$34)*Y47, ""))</f>
        <v/>
      </c>
      <c r="Z48" s="29" t="str">
        <f>IF(Z39="", "", IFERROR(($B$10/$F$34)*Z47, ""))</f>
        <v/>
      </c>
      <c r="AA48" s="30">
        <f t="shared" si="3"/>
        <v>0</v>
      </c>
    </row>
    <row r="49" spans="1:27" ht="20.100000000000001" customHeight="1" x14ac:dyDescent="0.25">
      <c r="A49" s="14" t="s">
        <v>70</v>
      </c>
      <c r="B49" s="7" t="str">
        <f t="shared" ref="B49:Z49" si="7">IF(B39="", "", IFERROR(B43+B48, ""))</f>
        <v/>
      </c>
      <c r="C49" s="7" t="str">
        <f t="shared" si="7"/>
        <v/>
      </c>
      <c r="D49" s="7" t="str">
        <f t="shared" si="7"/>
        <v/>
      </c>
      <c r="E49" s="7" t="str">
        <f t="shared" si="7"/>
        <v/>
      </c>
      <c r="F49" s="7" t="str">
        <f t="shared" si="7"/>
        <v/>
      </c>
      <c r="G49" s="7" t="str">
        <f t="shared" si="7"/>
        <v/>
      </c>
      <c r="H49" s="7" t="str">
        <f t="shared" si="7"/>
        <v/>
      </c>
      <c r="I49" s="7" t="str">
        <f t="shared" si="7"/>
        <v/>
      </c>
      <c r="J49" s="7" t="str">
        <f t="shared" si="7"/>
        <v/>
      </c>
      <c r="K49" s="7" t="str">
        <f t="shared" si="7"/>
        <v/>
      </c>
      <c r="L49" s="7" t="str">
        <f t="shared" si="7"/>
        <v/>
      </c>
      <c r="M49" s="7" t="str">
        <f t="shared" si="7"/>
        <v/>
      </c>
      <c r="N49" s="7" t="str">
        <f t="shared" si="7"/>
        <v/>
      </c>
      <c r="O49" s="7" t="str">
        <f t="shared" si="7"/>
        <v/>
      </c>
      <c r="P49" s="7" t="str">
        <f t="shared" si="7"/>
        <v/>
      </c>
      <c r="Q49" s="7" t="str">
        <f t="shared" si="7"/>
        <v/>
      </c>
      <c r="R49" s="7" t="str">
        <f t="shared" si="7"/>
        <v/>
      </c>
      <c r="S49" s="7" t="str">
        <f t="shared" si="7"/>
        <v/>
      </c>
      <c r="T49" s="7" t="str">
        <f t="shared" si="7"/>
        <v/>
      </c>
      <c r="U49" s="7" t="str">
        <f t="shared" si="7"/>
        <v/>
      </c>
      <c r="V49" s="7" t="str">
        <f t="shared" si="7"/>
        <v/>
      </c>
      <c r="W49" s="7" t="str">
        <f t="shared" si="7"/>
        <v/>
      </c>
      <c r="X49" s="7" t="str">
        <f t="shared" si="7"/>
        <v/>
      </c>
      <c r="Y49" s="7" t="str">
        <f t="shared" si="7"/>
        <v/>
      </c>
      <c r="Z49" s="7" t="str">
        <f t="shared" si="7"/>
        <v/>
      </c>
      <c r="AA49" s="30">
        <f t="shared" si="3"/>
        <v>0</v>
      </c>
    </row>
    <row r="50" spans="1:27" ht="20.100000000000001" customHeight="1" x14ac:dyDescent="0.25">
      <c r="A50" s="14" t="s">
        <v>71</v>
      </c>
      <c r="B50" s="23" t="str">
        <f t="shared" ref="B50:Z50" si="8">IF(OR(B39="", $D$28&lt;=0), "", IFERROR((($B$8/100)*(B42-1)*(1-($D$28/0.43))) / (($B$7/100) + ($B$8/100)*((B42-1)*($D$28/0.43) + 1)), 0))</f>
        <v/>
      </c>
      <c r="C50" s="23" t="str">
        <f t="shared" si="8"/>
        <v/>
      </c>
      <c r="D50" s="23" t="str">
        <f t="shared" si="8"/>
        <v/>
      </c>
      <c r="E50" s="23" t="str">
        <f t="shared" si="8"/>
        <v/>
      </c>
      <c r="F50" s="23" t="str">
        <f t="shared" si="8"/>
        <v/>
      </c>
      <c r="G50" s="23" t="str">
        <f t="shared" si="8"/>
        <v/>
      </c>
      <c r="H50" s="23" t="str">
        <f t="shared" si="8"/>
        <v/>
      </c>
      <c r="I50" s="23" t="str">
        <f t="shared" si="8"/>
        <v/>
      </c>
      <c r="J50" s="23" t="str">
        <f t="shared" si="8"/>
        <v/>
      </c>
      <c r="K50" s="23" t="str">
        <f t="shared" si="8"/>
        <v/>
      </c>
      <c r="L50" s="23" t="str">
        <f t="shared" si="8"/>
        <v/>
      </c>
      <c r="M50" s="23" t="str">
        <f t="shared" si="8"/>
        <v/>
      </c>
      <c r="N50" s="23" t="str">
        <f t="shared" si="8"/>
        <v/>
      </c>
      <c r="O50" s="23" t="str">
        <f t="shared" si="8"/>
        <v/>
      </c>
      <c r="P50" s="23" t="str">
        <f t="shared" si="8"/>
        <v/>
      </c>
      <c r="Q50" s="23" t="str">
        <f t="shared" si="8"/>
        <v/>
      </c>
      <c r="R50" s="23" t="str">
        <f t="shared" si="8"/>
        <v/>
      </c>
      <c r="S50" s="23" t="str">
        <f t="shared" si="8"/>
        <v/>
      </c>
      <c r="T50" s="23" t="str">
        <f t="shared" si="8"/>
        <v/>
      </c>
      <c r="U50" s="23" t="str">
        <f t="shared" si="8"/>
        <v/>
      </c>
      <c r="V50" s="23" t="str">
        <f t="shared" si="8"/>
        <v/>
      </c>
      <c r="W50" s="23" t="str">
        <f t="shared" si="8"/>
        <v/>
      </c>
      <c r="X50" s="23" t="str">
        <f t="shared" si="8"/>
        <v/>
      </c>
      <c r="Y50" s="23" t="str">
        <f t="shared" si="8"/>
        <v/>
      </c>
      <c r="Z50" s="23" t="str">
        <f t="shared" si="8"/>
        <v/>
      </c>
      <c r="AA50" s="24" t="s">
        <v>72</v>
      </c>
    </row>
    <row r="51" spans="1:27" ht="20.100000000000001" customHeight="1" x14ac:dyDescent="0.25">
      <c r="A51" s="14" t="s">
        <v>73</v>
      </c>
      <c r="B51" s="31" t="str">
        <f>IF(B39="", "", IFERROR(B49-B45, ""))</f>
        <v/>
      </c>
      <c r="C51" s="31" t="str">
        <f t="shared" ref="C51:Z51" si="9">IF(C39="", "", IFERROR(C49-C45, ""))</f>
        <v/>
      </c>
      <c r="D51" s="31" t="str">
        <f t="shared" si="9"/>
        <v/>
      </c>
      <c r="E51" s="31" t="str">
        <f t="shared" si="9"/>
        <v/>
      </c>
      <c r="F51" s="31" t="str">
        <f t="shared" si="9"/>
        <v/>
      </c>
      <c r="G51" s="31" t="str">
        <f t="shared" si="9"/>
        <v/>
      </c>
      <c r="H51" s="31" t="str">
        <f t="shared" si="9"/>
        <v/>
      </c>
      <c r="I51" s="31" t="str">
        <f t="shared" si="9"/>
        <v/>
      </c>
      <c r="J51" s="31" t="str">
        <f t="shared" si="9"/>
        <v/>
      </c>
      <c r="K51" s="31" t="str">
        <f t="shared" si="9"/>
        <v/>
      </c>
      <c r="L51" s="31" t="str">
        <f t="shared" si="9"/>
        <v/>
      </c>
      <c r="M51" s="31" t="str">
        <f t="shared" si="9"/>
        <v/>
      </c>
      <c r="N51" s="31" t="str">
        <f t="shared" si="9"/>
        <v/>
      </c>
      <c r="O51" s="31" t="str">
        <f t="shared" si="9"/>
        <v/>
      </c>
      <c r="P51" s="31" t="str">
        <f t="shared" si="9"/>
        <v/>
      </c>
      <c r="Q51" s="31" t="str">
        <f t="shared" si="9"/>
        <v/>
      </c>
      <c r="R51" s="31" t="str">
        <f t="shared" si="9"/>
        <v/>
      </c>
      <c r="S51" s="31" t="str">
        <f t="shared" si="9"/>
        <v/>
      </c>
      <c r="T51" s="31" t="str">
        <f t="shared" si="9"/>
        <v/>
      </c>
      <c r="U51" s="31" t="str">
        <f t="shared" si="9"/>
        <v/>
      </c>
      <c r="V51" s="31" t="str">
        <f t="shared" si="9"/>
        <v/>
      </c>
      <c r="W51" s="31" t="str">
        <f t="shared" si="9"/>
        <v/>
      </c>
      <c r="X51" s="31" t="str">
        <f t="shared" si="9"/>
        <v/>
      </c>
      <c r="Y51" s="31" t="str">
        <f t="shared" si="9"/>
        <v/>
      </c>
      <c r="Z51" s="31" t="str">
        <f t="shared" si="9"/>
        <v/>
      </c>
      <c r="AA51" s="32">
        <f>SUM(B51:Z51)</f>
        <v>0</v>
      </c>
    </row>
  </sheetData>
  <mergeCells count="32">
    <mergeCell ref="A1:I1"/>
    <mergeCell ref="A2:I2"/>
    <mergeCell ref="A3:I3"/>
    <mergeCell ref="E32:G32"/>
    <mergeCell ref="A24:I25"/>
    <mergeCell ref="D34:E34"/>
    <mergeCell ref="D6:F6"/>
    <mergeCell ref="D7:F7"/>
    <mergeCell ref="D8:F8"/>
    <mergeCell ref="D9:F9"/>
    <mergeCell ref="D10:F10"/>
    <mergeCell ref="D11:F11"/>
    <mergeCell ref="D12:F12"/>
    <mergeCell ref="D13:F13"/>
    <mergeCell ref="D14:F14"/>
    <mergeCell ref="D15:F15"/>
    <mergeCell ref="A23:I23"/>
    <mergeCell ref="A17:I17"/>
    <mergeCell ref="E27:G27"/>
    <mergeCell ref="E28:G28"/>
    <mergeCell ref="E29:G29"/>
    <mergeCell ref="E30:G30"/>
    <mergeCell ref="E31:G31"/>
    <mergeCell ref="A36:Z36"/>
    <mergeCell ref="H29:I29"/>
    <mergeCell ref="H30:I30"/>
    <mergeCell ref="A5:B5"/>
    <mergeCell ref="H31:I31"/>
    <mergeCell ref="H28:I28"/>
    <mergeCell ref="H32:I32"/>
    <mergeCell ref="D5:G5"/>
    <mergeCell ref="H27:I27"/>
  </mergeCells>
  <conditionalFormatting sqref="H28:H32">
    <cfRule type="cellIs" dxfId="9" priority="7" stopIfTrue="1" operator="equal">
      <formula>"✔ ERFÜLLT"</formula>
    </cfRule>
    <cfRule type="cellIs" dxfId="8" priority="8" stopIfTrue="1" operator="equal">
      <formula>"✘ NICHT ERFÜLLT"</formula>
    </cfRule>
  </conditionalFormatting>
  <conditionalFormatting sqref="B45:Z45">
    <cfRule type="colorScale" priority="6">
      <colorScale>
        <cfvo type="min"/>
        <cfvo type="percentile" val="50"/>
        <cfvo type="max"/>
        <color rgb="FF63BE7B"/>
        <color rgb="FFFFEB84"/>
        <color rgb="FFF8696B"/>
      </colorScale>
    </cfRule>
  </conditionalFormatting>
  <conditionalFormatting sqref="B49:Z49">
    <cfRule type="colorScale" priority="5">
      <colorScale>
        <cfvo type="min"/>
        <cfvo type="percentile" val="50"/>
        <cfvo type="max"/>
        <color rgb="FF63BE7B"/>
        <color rgb="FFFFEB84"/>
        <color rgb="FFF8696B"/>
      </colorScale>
    </cfRule>
  </conditionalFormatting>
  <conditionalFormatting sqref="B50:Z50">
    <cfRule type="colorScale" priority="4">
      <colorScale>
        <cfvo type="min"/>
        <cfvo type="percentile" val="50"/>
        <cfvo type="max"/>
        <color rgb="FF63BE7B"/>
        <color rgb="FFFFEB84"/>
        <color rgb="FFF8696B"/>
      </colorScale>
    </cfRule>
  </conditionalFormatting>
  <conditionalFormatting sqref="A24:I25">
    <cfRule type="expression" dxfId="7" priority="2">
      <formula>IF(AND(D28&lt;=0.34, D29&gt;=0.1, OR(D30&gt;=0.85, AND(D31&lt;=0.9, D32&gt;=3))),TRUE)</formula>
    </cfRule>
    <cfRule type="expression" dxfId="6" priority="3">
      <formula>IF(NOT(AND(D28&lt;=0.34, D29&gt;=0.1, OR(D30&gt;=0.85, AND(D31&lt;=0.9, D32&gt;=3)))),TRUE)</formula>
    </cfRule>
    <cfRule type="expression" dxfId="5" priority="1">
      <formula>IF(B13=0,TRUE)</formula>
    </cfRule>
  </conditionalFormatting>
  <dataValidations count="3">
    <dataValidation type="list" allowBlank="1" sqref="G6" xr:uid="{00000000-0002-0000-0000-000000000000}">
      <formula1>"Erdgas,Heizöl,Fernwärme,Holzpellets,Stückholz"</formula1>
    </dataValidation>
    <dataValidation type="list" allowBlank="1" sqref="G7" xr:uid="{00000000-0002-0000-0000-000001000000}">
      <formula1>"Ja,Nein"</formula1>
    </dataValidation>
    <dataValidation type="list" allowBlank="1" sqref="B20" xr:uid="{00000000-0002-0000-0000-000002000000}">
      <formula1>"1.000,0.789"</formula1>
    </dataValidation>
  </dataValidations>
  <pageMargins left="0.75" right="0.75" top="1" bottom="1" header="0.5" footer="0.5"/>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
  <sheetViews>
    <sheetView workbookViewId="0">
      <selection sqref="A1:E1"/>
    </sheetView>
  </sheetViews>
  <sheetFormatPr baseColWidth="10" defaultColWidth="9.140625" defaultRowHeight="15" x14ac:dyDescent="0.25"/>
  <cols>
    <col min="1" max="1" width="34" customWidth="1"/>
    <col min="2" max="2" width="28" customWidth="1"/>
    <col min="3" max="4" width="26" customWidth="1"/>
    <col min="5" max="5" width="38" customWidth="1"/>
  </cols>
  <sheetData>
    <row r="1" spans="1:5" ht="17.25" x14ac:dyDescent="0.25">
      <c r="A1" s="38" t="s">
        <v>74</v>
      </c>
      <c r="B1" s="37"/>
      <c r="C1" s="37"/>
      <c r="D1" s="37"/>
      <c r="E1" s="37"/>
    </row>
    <row r="2" spans="1:5" x14ac:dyDescent="0.25">
      <c r="A2" s="42" t="s">
        <v>75</v>
      </c>
      <c r="B2" s="37"/>
      <c r="C2" s="37"/>
      <c r="D2" s="37"/>
      <c r="E2" s="37"/>
    </row>
    <row r="4" spans="1:5" x14ac:dyDescent="0.25">
      <c r="A4" s="17" t="s">
        <v>76</v>
      </c>
      <c r="B4" s="17" t="s">
        <v>77</v>
      </c>
      <c r="C4" s="18" t="s">
        <v>78</v>
      </c>
      <c r="D4" s="18" t="s">
        <v>79</v>
      </c>
      <c r="E4" s="17" t="s">
        <v>80</v>
      </c>
    </row>
    <row r="5" spans="1:5" x14ac:dyDescent="0.25">
      <c r="A5" s="21" t="s">
        <v>81</v>
      </c>
      <c r="B5" s="21" t="s">
        <v>82</v>
      </c>
      <c r="C5" s="33">
        <v>1.1000000000000001</v>
      </c>
      <c r="D5" s="33">
        <v>1.1000000000000001</v>
      </c>
      <c r="E5" s="34"/>
    </row>
    <row r="6" spans="1:5" x14ac:dyDescent="0.25">
      <c r="A6" s="21" t="s">
        <v>83</v>
      </c>
      <c r="B6" s="21" t="s">
        <v>84</v>
      </c>
      <c r="C6" s="33">
        <v>2.0299999999999998</v>
      </c>
      <c r="D6" s="33">
        <v>2.0299999999999998</v>
      </c>
      <c r="E6" s="34"/>
    </row>
    <row r="7" spans="1:5" x14ac:dyDescent="0.25">
      <c r="A7" s="21" t="s">
        <v>83</v>
      </c>
      <c r="B7" s="21" t="s">
        <v>85</v>
      </c>
      <c r="C7" s="33">
        <v>2.0299999999999998</v>
      </c>
      <c r="D7" s="33">
        <v>2.0299999999999998</v>
      </c>
      <c r="E7" s="34"/>
    </row>
    <row r="8" spans="1:5" x14ac:dyDescent="0.25">
      <c r="A8" s="21" t="s">
        <v>86</v>
      </c>
      <c r="B8" s="21" t="s">
        <v>87</v>
      </c>
      <c r="C8" s="20" t="s">
        <v>88</v>
      </c>
      <c r="D8" s="33">
        <v>1.1439999999999999</v>
      </c>
      <c r="E8" s="34" t="s">
        <v>89</v>
      </c>
    </row>
    <row r="9" spans="1:5" x14ac:dyDescent="0.25">
      <c r="A9" s="21" t="s">
        <v>86</v>
      </c>
      <c r="B9" s="21" t="s">
        <v>90</v>
      </c>
      <c r="C9" s="20" t="s">
        <v>88</v>
      </c>
      <c r="D9" s="33">
        <v>1.1439999999999999</v>
      </c>
      <c r="E9" s="34" t="s">
        <v>89</v>
      </c>
    </row>
    <row r="10" spans="1:5" x14ac:dyDescent="0.25">
      <c r="A10" s="21" t="s">
        <v>91</v>
      </c>
      <c r="B10" s="21" t="s">
        <v>92</v>
      </c>
      <c r="C10" s="33">
        <v>1.07</v>
      </c>
      <c r="D10" s="33">
        <v>1.07</v>
      </c>
      <c r="E10" s="34"/>
    </row>
    <row r="11" spans="1:5" x14ac:dyDescent="0.25">
      <c r="A11" s="21" t="s">
        <v>93</v>
      </c>
      <c r="B11" s="21" t="s">
        <v>94</v>
      </c>
      <c r="C11" s="33">
        <v>0.95</v>
      </c>
      <c r="D11" s="33">
        <v>0.95</v>
      </c>
      <c r="E11" s="34"/>
    </row>
    <row r="12" spans="1:5" x14ac:dyDescent="0.25">
      <c r="A12" s="21" t="s">
        <v>95</v>
      </c>
      <c r="B12" s="21" t="s">
        <v>96</v>
      </c>
      <c r="C12" s="33">
        <v>1.0249999999999999</v>
      </c>
      <c r="D12" s="33">
        <v>1.0249999999999999</v>
      </c>
      <c r="E12" s="34"/>
    </row>
    <row r="13" spans="1:5" x14ac:dyDescent="0.25">
      <c r="A13" s="21" t="s">
        <v>97</v>
      </c>
      <c r="B13" s="21" t="s">
        <v>98</v>
      </c>
      <c r="C13" s="33">
        <v>1</v>
      </c>
      <c r="D13" s="33">
        <v>1</v>
      </c>
      <c r="E13" s="34"/>
    </row>
    <row r="14" spans="1:5" x14ac:dyDescent="0.25">
      <c r="A14" s="21" t="s">
        <v>97</v>
      </c>
      <c r="B14" s="21" t="s">
        <v>99</v>
      </c>
      <c r="C14" s="33">
        <v>1</v>
      </c>
      <c r="D14" s="33">
        <v>1</v>
      </c>
      <c r="E14" s="34"/>
    </row>
    <row r="15" spans="1:5" x14ac:dyDescent="0.25">
      <c r="A15" s="21" t="s">
        <v>100</v>
      </c>
      <c r="B15" s="21" t="s">
        <v>101</v>
      </c>
      <c r="C15" s="33">
        <v>1.0249999999999999</v>
      </c>
      <c r="D15" s="33">
        <v>1.0249999999999999</v>
      </c>
      <c r="E15" s="34"/>
    </row>
    <row r="16" spans="1:5" x14ac:dyDescent="0.25">
      <c r="A16" s="21" t="s">
        <v>100</v>
      </c>
      <c r="B16" s="21" t="s">
        <v>102</v>
      </c>
      <c r="C16" s="33">
        <v>1.0760000000000001</v>
      </c>
      <c r="D16" s="33">
        <v>0.86099999999999999</v>
      </c>
      <c r="E16" s="34"/>
    </row>
    <row r="17" spans="1:5" x14ac:dyDescent="0.25">
      <c r="A17" s="21" t="s">
        <v>100</v>
      </c>
      <c r="B17" s="21" t="s">
        <v>103</v>
      </c>
      <c r="C17" s="33">
        <v>1.0760000000000001</v>
      </c>
      <c r="D17" s="33">
        <v>1.0760000000000001</v>
      </c>
      <c r="E17" s="34"/>
    </row>
    <row r="18" spans="1:5" x14ac:dyDescent="0.25">
      <c r="A18" s="21" t="s">
        <v>104</v>
      </c>
      <c r="B18" s="21" t="s">
        <v>105</v>
      </c>
      <c r="C18" s="33">
        <v>0.97</v>
      </c>
      <c r="D18" s="20" t="s">
        <v>88</v>
      </c>
      <c r="E18" s="34" t="s">
        <v>106</v>
      </c>
    </row>
    <row r="19" spans="1:5" x14ac:dyDescent="0.25">
      <c r="A19" s="21" t="s">
        <v>104</v>
      </c>
      <c r="B19" s="21" t="s">
        <v>107</v>
      </c>
      <c r="C19" s="33">
        <v>0.99</v>
      </c>
      <c r="D19" s="33">
        <v>1.58</v>
      </c>
      <c r="E19" s="34"/>
    </row>
    <row r="20" spans="1:5" x14ac:dyDescent="0.25">
      <c r="A20" s="21" t="s">
        <v>104</v>
      </c>
      <c r="B20" s="21" t="s">
        <v>108</v>
      </c>
      <c r="C20" s="33">
        <v>0.99</v>
      </c>
      <c r="D20" s="33">
        <v>1.58</v>
      </c>
      <c r="E20" s="34"/>
    </row>
    <row r="21" spans="1:5" x14ac:dyDescent="0.25">
      <c r="A21" s="21" t="s">
        <v>104</v>
      </c>
      <c r="B21" s="21" t="s">
        <v>109</v>
      </c>
      <c r="C21" s="33">
        <v>0.99</v>
      </c>
      <c r="D21" s="33">
        <v>1.58</v>
      </c>
      <c r="E21" s="34"/>
    </row>
    <row r="22" spans="1:5" x14ac:dyDescent="0.25">
      <c r="A22" s="21" t="s">
        <v>104</v>
      </c>
      <c r="B22" s="21" t="s">
        <v>110</v>
      </c>
      <c r="C22" s="33">
        <v>0.99</v>
      </c>
      <c r="D22" s="33">
        <v>1.58</v>
      </c>
      <c r="E22" s="34"/>
    </row>
    <row r="23" spans="1:5" x14ac:dyDescent="0.25">
      <c r="A23" s="21" t="s">
        <v>111</v>
      </c>
      <c r="B23" s="21" t="s">
        <v>112</v>
      </c>
      <c r="C23" s="20" t="s">
        <v>88</v>
      </c>
      <c r="D23" s="33">
        <v>1.1000000000000001</v>
      </c>
      <c r="E23" s="34" t="s">
        <v>89</v>
      </c>
    </row>
    <row r="24" spans="1:5" x14ac:dyDescent="0.25">
      <c r="A24" s="21" t="s">
        <v>111</v>
      </c>
      <c r="B24" s="21" t="s">
        <v>113</v>
      </c>
      <c r="C24" s="20" t="s">
        <v>88</v>
      </c>
      <c r="D24" s="33">
        <v>1.1000000000000001</v>
      </c>
      <c r="E24" s="34" t="s">
        <v>89</v>
      </c>
    </row>
    <row r="25" spans="1:5" x14ac:dyDescent="0.25">
      <c r="A25" s="21" t="s">
        <v>111</v>
      </c>
      <c r="B25" s="21" t="s">
        <v>114</v>
      </c>
      <c r="C25" s="20" t="s">
        <v>88</v>
      </c>
      <c r="D25" s="33">
        <v>1.1000000000000001</v>
      </c>
      <c r="E25" s="34" t="s">
        <v>89</v>
      </c>
    </row>
    <row r="26" spans="1:5" x14ac:dyDescent="0.25">
      <c r="A26" s="21" t="s">
        <v>111</v>
      </c>
      <c r="B26" s="21" t="s">
        <v>115</v>
      </c>
      <c r="C26" s="20" t="s">
        <v>88</v>
      </c>
      <c r="D26" s="33">
        <v>1.1000000000000001</v>
      </c>
      <c r="E26" s="34" t="s">
        <v>89</v>
      </c>
    </row>
    <row r="27" spans="1:5" x14ac:dyDescent="0.25">
      <c r="A27" s="21" t="s">
        <v>111</v>
      </c>
      <c r="B27" s="21" t="s">
        <v>116</v>
      </c>
      <c r="C27" s="20" t="s">
        <v>88</v>
      </c>
      <c r="D27" s="33">
        <v>1.1000000000000001</v>
      </c>
      <c r="E27" s="34" t="s">
        <v>89</v>
      </c>
    </row>
    <row r="28" spans="1:5" x14ac:dyDescent="0.25">
      <c r="A28" s="21" t="s">
        <v>111</v>
      </c>
      <c r="B28" s="21" t="s">
        <v>117</v>
      </c>
      <c r="C28" s="20" t="s">
        <v>88</v>
      </c>
      <c r="D28" s="33">
        <v>1.1000000000000001</v>
      </c>
      <c r="E28" s="34" t="s">
        <v>89</v>
      </c>
    </row>
    <row r="29" spans="1:5" x14ac:dyDescent="0.25">
      <c r="A29" s="21" t="s">
        <v>111</v>
      </c>
      <c r="B29" s="21" t="s">
        <v>118</v>
      </c>
      <c r="C29" s="20" t="s">
        <v>88</v>
      </c>
      <c r="D29" s="33">
        <v>1.1000000000000001</v>
      </c>
      <c r="E29" s="34" t="s">
        <v>89</v>
      </c>
    </row>
    <row r="32" spans="1:5" x14ac:dyDescent="0.25">
      <c r="A32" s="41" t="s">
        <v>119</v>
      </c>
      <c r="B32" s="37"/>
      <c r="C32" s="37"/>
      <c r="D32" s="37"/>
      <c r="E32" s="37"/>
    </row>
    <row r="33" spans="1:5" x14ac:dyDescent="0.25">
      <c r="A33" s="46" t="s">
        <v>120</v>
      </c>
      <c r="B33" s="44"/>
      <c r="C33" s="18" t="s">
        <v>121</v>
      </c>
      <c r="D33" s="18" t="s">
        <v>122</v>
      </c>
      <c r="E33" s="17" t="s">
        <v>123</v>
      </c>
    </row>
    <row r="34" spans="1:5" x14ac:dyDescent="0.25">
      <c r="A34" s="45" t="s">
        <v>124</v>
      </c>
      <c r="B34" s="40"/>
      <c r="C34" s="10">
        <v>1</v>
      </c>
      <c r="D34" s="10">
        <v>1</v>
      </c>
      <c r="E34" s="34" t="s">
        <v>125</v>
      </c>
    </row>
    <row r="35" spans="1:5" x14ac:dyDescent="0.25">
      <c r="A35" s="45" t="s">
        <v>126</v>
      </c>
      <c r="B35" s="40"/>
      <c r="C35" s="10">
        <v>0.8</v>
      </c>
      <c r="D35" s="10">
        <v>0.8</v>
      </c>
      <c r="E35" s="34" t="s">
        <v>127</v>
      </c>
    </row>
    <row r="36" spans="1:5" x14ac:dyDescent="0.25">
      <c r="A36" s="45" t="s">
        <v>128</v>
      </c>
      <c r="B36" s="40"/>
      <c r="C36" s="10">
        <v>0.73</v>
      </c>
      <c r="D36" s="10">
        <v>0.73</v>
      </c>
      <c r="E36" s="34" t="s">
        <v>129</v>
      </c>
    </row>
    <row r="37" spans="1:5" x14ac:dyDescent="0.25">
      <c r="A37" s="45" t="s">
        <v>130</v>
      </c>
      <c r="B37" s="40"/>
      <c r="C37" s="10">
        <v>0.57999999999999996</v>
      </c>
      <c r="D37" s="10">
        <v>0.57999999999999996</v>
      </c>
      <c r="E37" s="34" t="s">
        <v>131</v>
      </c>
    </row>
    <row r="38" spans="1:5" x14ac:dyDescent="0.25">
      <c r="A38" s="45" t="s">
        <v>132</v>
      </c>
      <c r="B38" s="40"/>
      <c r="C38" s="10">
        <v>1</v>
      </c>
      <c r="D38" s="10">
        <v>1</v>
      </c>
      <c r="E38" s="34" t="s">
        <v>133</v>
      </c>
    </row>
    <row r="39" spans="1:5" x14ac:dyDescent="0.25">
      <c r="A39" s="45" t="s">
        <v>134</v>
      </c>
      <c r="B39" s="40"/>
      <c r="C39" s="10">
        <v>2.6</v>
      </c>
      <c r="D39" s="10">
        <v>3.1</v>
      </c>
      <c r="E39" s="34" t="s">
        <v>135</v>
      </c>
    </row>
    <row r="40" spans="1:5" x14ac:dyDescent="0.25">
      <c r="A40" s="45" t="s">
        <v>136</v>
      </c>
      <c r="B40" s="40"/>
      <c r="C40" s="10">
        <v>2</v>
      </c>
      <c r="D40" s="10">
        <v>2.2999999999999998</v>
      </c>
      <c r="E40" s="34" t="s">
        <v>135</v>
      </c>
    </row>
  </sheetData>
  <mergeCells count="11">
    <mergeCell ref="A1:E1"/>
    <mergeCell ref="A32:E32"/>
    <mergeCell ref="A40:B40"/>
    <mergeCell ref="A39:B39"/>
    <mergeCell ref="A34:B34"/>
    <mergeCell ref="A35:B35"/>
    <mergeCell ref="A38:B38"/>
    <mergeCell ref="A2:E2"/>
    <mergeCell ref="A33:B33"/>
    <mergeCell ref="A37:B37"/>
    <mergeCell ref="A36:B36"/>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9"/>
  <sheetViews>
    <sheetView topLeftCell="A18" workbookViewId="0">
      <selection activeCell="E50" sqref="E50"/>
    </sheetView>
  </sheetViews>
  <sheetFormatPr baseColWidth="10" defaultColWidth="9.140625" defaultRowHeight="15" x14ac:dyDescent="0.25"/>
  <cols>
    <col min="1" max="1" width="18" customWidth="1"/>
    <col min="2" max="2" width="34" customWidth="1"/>
    <col min="3" max="3" width="46" customWidth="1"/>
    <col min="4" max="4" width="24" customWidth="1"/>
    <col min="5" max="5" width="75" customWidth="1"/>
  </cols>
  <sheetData>
    <row r="1" spans="1:5" ht="17.25" x14ac:dyDescent="0.25">
      <c r="A1" s="38" t="s">
        <v>137</v>
      </c>
      <c r="B1" s="37"/>
      <c r="C1" s="37"/>
      <c r="D1" s="37"/>
      <c r="E1" s="37"/>
    </row>
    <row r="2" spans="1:5" x14ac:dyDescent="0.25">
      <c r="A2" s="42" t="s">
        <v>138</v>
      </c>
      <c r="B2" s="37"/>
      <c r="C2" s="37"/>
      <c r="D2" s="37"/>
      <c r="E2" s="37"/>
    </row>
    <row r="4" spans="1:5" x14ac:dyDescent="0.25">
      <c r="A4" s="41" t="s">
        <v>139</v>
      </c>
      <c r="B4" s="37"/>
      <c r="C4" s="37"/>
      <c r="D4" s="37"/>
      <c r="E4" s="37"/>
    </row>
    <row r="5" spans="1:5" x14ac:dyDescent="0.25">
      <c r="A5" s="18" t="s">
        <v>140</v>
      </c>
      <c r="B5" s="17" t="s">
        <v>141</v>
      </c>
      <c r="C5" s="18" t="s">
        <v>142</v>
      </c>
      <c r="D5" s="17" t="s">
        <v>143</v>
      </c>
      <c r="E5" s="53" t="s">
        <v>329</v>
      </c>
    </row>
    <row r="6" spans="1:5" x14ac:dyDescent="0.25">
      <c r="A6" s="19" t="s">
        <v>39</v>
      </c>
      <c r="B6" s="14" t="s">
        <v>144</v>
      </c>
      <c r="C6" s="20" t="s">
        <v>145</v>
      </c>
      <c r="D6" s="21" t="s">
        <v>146</v>
      </c>
      <c r="E6" s="21" t="s">
        <v>147</v>
      </c>
    </row>
    <row r="7" spans="1:5" x14ac:dyDescent="0.25">
      <c r="A7" s="19" t="s">
        <v>148</v>
      </c>
      <c r="B7" s="14" t="s">
        <v>149</v>
      </c>
      <c r="C7" s="20" t="s">
        <v>145</v>
      </c>
      <c r="D7" s="21" t="s">
        <v>150</v>
      </c>
      <c r="E7" s="21" t="s">
        <v>151</v>
      </c>
    </row>
    <row r="8" spans="1:5" x14ac:dyDescent="0.25">
      <c r="A8" s="19" t="s">
        <v>152</v>
      </c>
      <c r="B8" s="14" t="s">
        <v>153</v>
      </c>
      <c r="C8" s="20" t="s">
        <v>145</v>
      </c>
      <c r="D8" s="21" t="s">
        <v>154</v>
      </c>
      <c r="E8" s="21" t="s">
        <v>155</v>
      </c>
    </row>
    <row r="9" spans="1:5" x14ac:dyDescent="0.25">
      <c r="A9" s="19" t="s">
        <v>156</v>
      </c>
      <c r="B9" s="14" t="s">
        <v>157</v>
      </c>
      <c r="C9" s="20" t="s">
        <v>158</v>
      </c>
      <c r="D9" s="21" t="s">
        <v>159</v>
      </c>
      <c r="E9" s="21" t="s">
        <v>160</v>
      </c>
    </row>
    <row r="10" spans="1:5" x14ac:dyDescent="0.25">
      <c r="A10" s="19" t="s">
        <v>42</v>
      </c>
      <c r="B10" s="14" t="s">
        <v>161</v>
      </c>
      <c r="C10" s="20" t="s">
        <v>158</v>
      </c>
      <c r="D10" s="21" t="s">
        <v>162</v>
      </c>
      <c r="E10" s="21" t="s">
        <v>163</v>
      </c>
    </row>
    <row r="11" spans="1:5" x14ac:dyDescent="0.25">
      <c r="A11" s="19" t="s">
        <v>45</v>
      </c>
      <c r="B11" s="14" t="s">
        <v>164</v>
      </c>
      <c r="C11" s="20" t="s">
        <v>145</v>
      </c>
      <c r="D11" s="21" t="s">
        <v>165</v>
      </c>
      <c r="E11" s="21" t="s">
        <v>166</v>
      </c>
    </row>
    <row r="12" spans="1:5" x14ac:dyDescent="0.25">
      <c r="A12" s="19" t="s">
        <v>48</v>
      </c>
      <c r="B12" s="14" t="s">
        <v>167</v>
      </c>
      <c r="C12" s="20" t="s">
        <v>145</v>
      </c>
      <c r="D12" s="21" t="s">
        <v>168</v>
      </c>
      <c r="E12" s="21" t="s">
        <v>169</v>
      </c>
    </row>
    <row r="13" spans="1:5" x14ac:dyDescent="0.25">
      <c r="A13" s="19" t="s">
        <v>51</v>
      </c>
      <c r="B13" s="14" t="s">
        <v>170</v>
      </c>
      <c r="C13" s="20" t="s">
        <v>145</v>
      </c>
      <c r="D13" s="21" t="s">
        <v>171</v>
      </c>
      <c r="E13" s="21" t="s">
        <v>172</v>
      </c>
    </row>
    <row r="14" spans="1:5" x14ac:dyDescent="0.25">
      <c r="A14" s="19" t="s">
        <v>173</v>
      </c>
      <c r="B14" s="14" t="s">
        <v>174</v>
      </c>
      <c r="C14" s="20" t="s">
        <v>175</v>
      </c>
      <c r="D14" s="21" t="s">
        <v>176</v>
      </c>
      <c r="E14" s="21" t="s">
        <v>177</v>
      </c>
    </row>
    <row r="15" spans="1:5" x14ac:dyDescent="0.25">
      <c r="A15" s="19" t="s">
        <v>178</v>
      </c>
      <c r="B15" s="14" t="s">
        <v>179</v>
      </c>
      <c r="C15" s="20" t="s">
        <v>175</v>
      </c>
      <c r="D15" s="21" t="s">
        <v>180</v>
      </c>
      <c r="E15" s="21" t="s">
        <v>181</v>
      </c>
    </row>
    <row r="16" spans="1:5" x14ac:dyDescent="0.25">
      <c r="A16" s="19" t="s">
        <v>182</v>
      </c>
      <c r="B16" s="14" t="s">
        <v>183</v>
      </c>
      <c r="C16" s="20" t="s">
        <v>145</v>
      </c>
      <c r="D16" s="21" t="s">
        <v>184</v>
      </c>
      <c r="E16" s="21" t="s">
        <v>185</v>
      </c>
    </row>
    <row r="17" spans="1:5" x14ac:dyDescent="0.25">
      <c r="A17" s="19" t="s">
        <v>186</v>
      </c>
      <c r="B17" s="14" t="s">
        <v>187</v>
      </c>
      <c r="C17" s="20" t="s">
        <v>188</v>
      </c>
      <c r="D17" s="21" t="s">
        <v>189</v>
      </c>
      <c r="E17" s="52" t="s">
        <v>327</v>
      </c>
    </row>
    <row r="18" spans="1:5" x14ac:dyDescent="0.25">
      <c r="A18" s="19" t="s">
        <v>190</v>
      </c>
      <c r="B18" s="14" t="s">
        <v>191</v>
      </c>
      <c r="C18" s="20" t="s">
        <v>145</v>
      </c>
      <c r="D18" s="21" t="s">
        <v>192</v>
      </c>
      <c r="E18" s="52" t="s">
        <v>328</v>
      </c>
    </row>
    <row r="19" spans="1:5" x14ac:dyDescent="0.25">
      <c r="A19" s="19" t="s">
        <v>193</v>
      </c>
      <c r="B19" s="14" t="s">
        <v>194</v>
      </c>
      <c r="C19" s="20" t="s">
        <v>145</v>
      </c>
      <c r="D19" s="21" t="s">
        <v>195</v>
      </c>
      <c r="E19" s="21" t="s">
        <v>196</v>
      </c>
    </row>
    <row r="20" spans="1:5" x14ac:dyDescent="0.25">
      <c r="A20" s="19" t="s">
        <v>197</v>
      </c>
      <c r="B20" s="14" t="s">
        <v>198</v>
      </c>
      <c r="C20" s="20" t="s">
        <v>145</v>
      </c>
      <c r="D20" s="21" t="s">
        <v>199</v>
      </c>
      <c r="E20" s="21" t="s">
        <v>200</v>
      </c>
    </row>
    <row r="21" spans="1:5" x14ac:dyDescent="0.25">
      <c r="A21" s="19" t="s">
        <v>201</v>
      </c>
      <c r="B21" s="14" t="s">
        <v>202</v>
      </c>
      <c r="C21" s="20" t="s">
        <v>203</v>
      </c>
      <c r="D21" s="21" t="s">
        <v>204</v>
      </c>
      <c r="E21" s="21" t="s">
        <v>205</v>
      </c>
    </row>
    <row r="22" spans="1:5" x14ac:dyDescent="0.25">
      <c r="A22" s="19" t="s">
        <v>206</v>
      </c>
      <c r="B22" s="14" t="s">
        <v>207</v>
      </c>
      <c r="C22" s="20" t="s">
        <v>203</v>
      </c>
      <c r="D22" s="21" t="s">
        <v>208</v>
      </c>
      <c r="E22" s="21" t="s">
        <v>209</v>
      </c>
    </row>
    <row r="23" spans="1:5" x14ac:dyDescent="0.25">
      <c r="A23" s="19" t="s">
        <v>210</v>
      </c>
      <c r="B23" s="14" t="s">
        <v>211</v>
      </c>
      <c r="C23" s="20" t="s">
        <v>203</v>
      </c>
      <c r="D23" s="21" t="s">
        <v>212</v>
      </c>
      <c r="E23" s="21" t="s">
        <v>213</v>
      </c>
    </row>
    <row r="24" spans="1:5" x14ac:dyDescent="0.25">
      <c r="A24" s="19" t="s">
        <v>214</v>
      </c>
      <c r="B24" s="14" t="s">
        <v>215</v>
      </c>
      <c r="C24" s="20" t="s">
        <v>216</v>
      </c>
      <c r="D24" s="21" t="s">
        <v>217</v>
      </c>
      <c r="E24" s="21" t="s">
        <v>218</v>
      </c>
    </row>
    <row r="25" spans="1:5" x14ac:dyDescent="0.25">
      <c r="A25" s="19" t="s">
        <v>219</v>
      </c>
      <c r="B25" s="14" t="s">
        <v>220</v>
      </c>
      <c r="C25" s="20" t="s">
        <v>216</v>
      </c>
      <c r="D25" s="21" t="s">
        <v>221</v>
      </c>
      <c r="E25" s="21" t="s">
        <v>222</v>
      </c>
    </row>
    <row r="26" spans="1:5" x14ac:dyDescent="0.25">
      <c r="A26" s="19" t="s">
        <v>223</v>
      </c>
      <c r="B26" s="14" t="s">
        <v>224</v>
      </c>
      <c r="C26" s="20" t="s">
        <v>216</v>
      </c>
      <c r="D26" s="21" t="s">
        <v>225</v>
      </c>
      <c r="E26" s="21" t="s">
        <v>226</v>
      </c>
    </row>
    <row r="27" spans="1:5" x14ac:dyDescent="0.25">
      <c r="A27" s="19" t="s">
        <v>227</v>
      </c>
      <c r="B27" s="14" t="s">
        <v>228</v>
      </c>
      <c r="C27" s="20" t="s">
        <v>216</v>
      </c>
      <c r="D27" s="21" t="s">
        <v>229</v>
      </c>
      <c r="E27" s="21" t="s">
        <v>230</v>
      </c>
    </row>
    <row r="28" spans="1:5" x14ac:dyDescent="0.25">
      <c r="A28" s="19" t="s">
        <v>231</v>
      </c>
      <c r="B28" s="14" t="s">
        <v>232</v>
      </c>
      <c r="C28" s="20" t="s">
        <v>216</v>
      </c>
      <c r="D28" s="21" t="s">
        <v>233</v>
      </c>
      <c r="E28" s="21" t="s">
        <v>234</v>
      </c>
    </row>
    <row r="29" spans="1:5" x14ac:dyDescent="0.25">
      <c r="A29" s="19" t="s">
        <v>235</v>
      </c>
      <c r="B29" s="14" t="s">
        <v>236</v>
      </c>
      <c r="C29" s="20" t="s">
        <v>216</v>
      </c>
      <c r="D29" s="21" t="s">
        <v>237</v>
      </c>
      <c r="E29" s="21" t="s">
        <v>238</v>
      </c>
    </row>
    <row r="30" spans="1:5" x14ac:dyDescent="0.25">
      <c r="A30" s="19" t="s">
        <v>239</v>
      </c>
      <c r="B30" s="14" t="s">
        <v>240</v>
      </c>
      <c r="C30" s="20" t="s">
        <v>241</v>
      </c>
      <c r="D30" s="21" t="s">
        <v>242</v>
      </c>
      <c r="E30" s="21" t="s">
        <v>243</v>
      </c>
    </row>
    <row r="31" spans="1:5" x14ac:dyDescent="0.25">
      <c r="A31" s="19" t="s">
        <v>244</v>
      </c>
      <c r="B31" s="14" t="s">
        <v>245</v>
      </c>
      <c r="C31" s="20" t="s">
        <v>241</v>
      </c>
      <c r="D31" s="21" t="s">
        <v>246</v>
      </c>
      <c r="E31" s="21" t="s">
        <v>247</v>
      </c>
    </row>
    <row r="32" spans="1:5" x14ac:dyDescent="0.25">
      <c r="A32" s="19" t="s">
        <v>248</v>
      </c>
      <c r="B32" s="14" t="s">
        <v>249</v>
      </c>
      <c r="C32" s="20" t="s">
        <v>145</v>
      </c>
      <c r="D32" s="21" t="s">
        <v>250</v>
      </c>
      <c r="E32" s="21" t="s">
        <v>251</v>
      </c>
    </row>
    <row r="33" spans="1:5" x14ac:dyDescent="0.25">
      <c r="A33" s="19" t="s">
        <v>252</v>
      </c>
      <c r="B33" s="14" t="s">
        <v>253</v>
      </c>
      <c r="C33" s="20" t="s">
        <v>145</v>
      </c>
      <c r="D33" s="21" t="s">
        <v>254</v>
      </c>
      <c r="E33" s="21" t="s">
        <v>255</v>
      </c>
    </row>
    <row r="36" spans="1:5" x14ac:dyDescent="0.25">
      <c r="A36" s="41" t="s">
        <v>256</v>
      </c>
      <c r="B36" s="37"/>
      <c r="C36" s="37"/>
      <c r="D36" s="37"/>
      <c r="E36" s="37"/>
    </row>
    <row r="37" spans="1:5" x14ac:dyDescent="0.25">
      <c r="A37" s="18" t="s">
        <v>257</v>
      </c>
      <c r="B37" s="17" t="s">
        <v>258</v>
      </c>
      <c r="C37" s="17" t="s">
        <v>259</v>
      </c>
      <c r="D37" s="18" t="s">
        <v>140</v>
      </c>
      <c r="E37" s="17" t="s">
        <v>260</v>
      </c>
    </row>
    <row r="38" spans="1:5" x14ac:dyDescent="0.25">
      <c r="A38" s="22" t="s">
        <v>261</v>
      </c>
      <c r="B38" s="14" t="s">
        <v>174</v>
      </c>
      <c r="C38" s="35" t="s">
        <v>262</v>
      </c>
      <c r="D38" s="22" t="s">
        <v>263</v>
      </c>
      <c r="E38" s="21" t="s">
        <v>264</v>
      </c>
    </row>
    <row r="39" spans="1:5" x14ac:dyDescent="0.25">
      <c r="A39" s="22" t="s">
        <v>265</v>
      </c>
      <c r="B39" s="14" t="s">
        <v>179</v>
      </c>
      <c r="C39" s="35" t="s">
        <v>266</v>
      </c>
      <c r="D39" s="22" t="s">
        <v>267</v>
      </c>
      <c r="E39" s="21" t="s">
        <v>268</v>
      </c>
    </row>
    <row r="40" spans="1:5" x14ac:dyDescent="0.25">
      <c r="A40" s="22" t="s">
        <v>269</v>
      </c>
      <c r="B40" s="14" t="s">
        <v>183</v>
      </c>
      <c r="C40" s="35" t="s">
        <v>270</v>
      </c>
      <c r="D40" s="22" t="s">
        <v>271</v>
      </c>
      <c r="E40" s="21" t="s">
        <v>272</v>
      </c>
    </row>
    <row r="41" spans="1:5" x14ac:dyDescent="0.25">
      <c r="A41" s="22" t="s">
        <v>273</v>
      </c>
      <c r="B41" s="14" t="s">
        <v>164</v>
      </c>
      <c r="C41" s="35" t="s">
        <v>274</v>
      </c>
      <c r="D41" s="22" t="s">
        <v>275</v>
      </c>
      <c r="E41" s="21" t="s">
        <v>276</v>
      </c>
    </row>
    <row r="42" spans="1:5" x14ac:dyDescent="0.25">
      <c r="A42" s="22" t="s">
        <v>277</v>
      </c>
      <c r="B42" s="14" t="s">
        <v>157</v>
      </c>
      <c r="C42" s="35" t="s">
        <v>278</v>
      </c>
      <c r="D42" s="22" t="s">
        <v>279</v>
      </c>
      <c r="E42" s="21" t="s">
        <v>280</v>
      </c>
    </row>
    <row r="43" spans="1:5" x14ac:dyDescent="0.25">
      <c r="A43" s="22" t="s">
        <v>281</v>
      </c>
      <c r="B43" s="14" t="s">
        <v>282</v>
      </c>
      <c r="C43" s="35" t="s">
        <v>283</v>
      </c>
      <c r="D43" s="22" t="s">
        <v>284</v>
      </c>
      <c r="E43" s="21" t="s">
        <v>285</v>
      </c>
    </row>
    <row r="44" spans="1:5" x14ac:dyDescent="0.25">
      <c r="A44" s="22" t="s">
        <v>286</v>
      </c>
      <c r="B44" s="14" t="s">
        <v>202</v>
      </c>
      <c r="C44" s="35" t="s">
        <v>287</v>
      </c>
      <c r="D44" s="22" t="s">
        <v>288</v>
      </c>
      <c r="E44" s="21" t="s">
        <v>289</v>
      </c>
    </row>
    <row r="45" spans="1:5" x14ac:dyDescent="0.25">
      <c r="A45" s="22" t="s">
        <v>290</v>
      </c>
      <c r="B45" s="14" t="s">
        <v>291</v>
      </c>
      <c r="C45" s="35" t="s">
        <v>292</v>
      </c>
      <c r="D45" s="22" t="s">
        <v>293</v>
      </c>
      <c r="E45" s="21" t="s">
        <v>294</v>
      </c>
    </row>
    <row r="46" spans="1:5" x14ac:dyDescent="0.25">
      <c r="A46" s="22" t="s">
        <v>295</v>
      </c>
      <c r="B46" s="14" t="s">
        <v>296</v>
      </c>
      <c r="C46" s="35" t="s">
        <v>297</v>
      </c>
      <c r="D46" s="22" t="s">
        <v>298</v>
      </c>
      <c r="E46" s="21" t="s">
        <v>299</v>
      </c>
    </row>
    <row r="47" spans="1:5" x14ac:dyDescent="0.25">
      <c r="A47" s="22" t="s">
        <v>300</v>
      </c>
      <c r="B47" s="14" t="s">
        <v>301</v>
      </c>
      <c r="C47" s="35" t="s">
        <v>302</v>
      </c>
      <c r="D47" s="22" t="s">
        <v>303</v>
      </c>
      <c r="E47" s="21" t="s">
        <v>304</v>
      </c>
    </row>
    <row r="48" spans="1:5" x14ac:dyDescent="0.25">
      <c r="A48" s="22" t="s">
        <v>305</v>
      </c>
      <c r="B48" s="14" t="s">
        <v>194</v>
      </c>
      <c r="C48" s="35" t="s">
        <v>306</v>
      </c>
      <c r="D48" s="22" t="s">
        <v>307</v>
      </c>
      <c r="E48" s="21" t="s">
        <v>308</v>
      </c>
    </row>
    <row r="49" spans="1:5" x14ac:dyDescent="0.25">
      <c r="A49" s="22" t="s">
        <v>309</v>
      </c>
      <c r="B49" s="14" t="s">
        <v>310</v>
      </c>
      <c r="C49" s="35" t="s">
        <v>311</v>
      </c>
      <c r="D49" s="22" t="s">
        <v>312</v>
      </c>
      <c r="E49" s="21" t="s">
        <v>313</v>
      </c>
    </row>
  </sheetData>
  <mergeCells count="4">
    <mergeCell ref="A2:E2"/>
    <mergeCell ref="A1:E1"/>
    <mergeCell ref="A4:E4"/>
    <mergeCell ref="A36:E36"/>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51"/>
  <sheetViews>
    <sheetView showGridLines="0" topLeftCell="A15" workbookViewId="0">
      <selection activeCell="H32" sqref="H32:I32"/>
    </sheetView>
  </sheetViews>
  <sheetFormatPr baseColWidth="10" defaultColWidth="9.140625" defaultRowHeight="15" x14ac:dyDescent="0.25"/>
  <cols>
    <col min="1" max="1" width="54" customWidth="1"/>
    <col min="2" max="26" width="14.42578125" customWidth="1"/>
    <col min="27" max="27" width="20" customWidth="1"/>
  </cols>
  <sheetData>
    <row r="1" spans="1:9" ht="27.95" customHeight="1" x14ac:dyDescent="0.25">
      <c r="A1" s="38" t="s">
        <v>0</v>
      </c>
      <c r="B1" s="38"/>
      <c r="C1" s="38"/>
      <c r="D1" s="38"/>
      <c r="E1" s="38"/>
      <c r="F1" s="38"/>
      <c r="G1" s="38"/>
      <c r="H1" s="38"/>
      <c r="I1" s="38"/>
    </row>
    <row r="2" spans="1:9" ht="20.100000000000001" customHeight="1" x14ac:dyDescent="0.25">
      <c r="A2" s="42" t="s">
        <v>1</v>
      </c>
      <c r="B2" s="42"/>
      <c r="C2" s="42"/>
      <c r="D2" s="42"/>
      <c r="E2" s="42"/>
      <c r="F2" s="42"/>
      <c r="G2" s="42"/>
      <c r="H2" s="42"/>
      <c r="I2" s="42"/>
    </row>
    <row r="3" spans="1:9" ht="26.25" customHeight="1" x14ac:dyDescent="0.25">
      <c r="A3" s="70" t="s">
        <v>2</v>
      </c>
      <c r="B3" s="71"/>
      <c r="C3" s="71"/>
      <c r="D3" s="71"/>
      <c r="E3" s="71"/>
      <c r="F3" s="71"/>
      <c r="G3" s="71"/>
      <c r="H3" s="71"/>
      <c r="I3" s="71"/>
    </row>
    <row r="5" spans="1:9" ht="24" customHeight="1" x14ac:dyDescent="0.25">
      <c r="A5" s="41" t="s">
        <v>3</v>
      </c>
      <c r="B5" s="37"/>
      <c r="D5" s="41" t="s">
        <v>4</v>
      </c>
      <c r="E5" s="37"/>
      <c r="F5" s="37"/>
      <c r="G5" s="37"/>
    </row>
    <row r="6" spans="1:9" ht="35.1" customHeight="1" x14ac:dyDescent="0.25">
      <c r="A6" s="1" t="s">
        <v>5</v>
      </c>
      <c r="B6" s="2">
        <v>12000</v>
      </c>
      <c r="D6" s="47" t="s">
        <v>6</v>
      </c>
      <c r="E6" s="68"/>
      <c r="F6" s="48"/>
      <c r="G6" s="3" t="s">
        <v>314</v>
      </c>
    </row>
    <row r="7" spans="1:9" ht="35.1" customHeight="1" x14ac:dyDescent="0.25">
      <c r="A7" s="1" t="s">
        <v>7</v>
      </c>
      <c r="B7" s="4">
        <v>30</v>
      </c>
      <c r="D7" s="47" t="s">
        <v>8</v>
      </c>
      <c r="E7" s="68"/>
      <c r="F7" s="48"/>
      <c r="G7" s="3" t="s">
        <v>9</v>
      </c>
    </row>
    <row r="8" spans="1:9" ht="35.1" customHeight="1" x14ac:dyDescent="0.25">
      <c r="A8" s="1" t="s">
        <v>10</v>
      </c>
      <c r="B8" s="5">
        <f>100-B7</f>
        <v>70</v>
      </c>
      <c r="D8" s="47" t="s">
        <v>11</v>
      </c>
      <c r="E8" s="68"/>
      <c r="F8" s="48"/>
      <c r="G8" s="6">
        <v>192000</v>
      </c>
    </row>
    <row r="9" spans="1:9" ht="35.1" customHeight="1" x14ac:dyDescent="0.25">
      <c r="A9" s="1" t="s">
        <v>12</v>
      </c>
      <c r="B9" s="7">
        <f>IFERROR(B6*B7/100, 0)</f>
        <v>3600</v>
      </c>
      <c r="D9" s="47" t="s">
        <v>13</v>
      </c>
      <c r="E9" s="68"/>
      <c r="F9" s="48"/>
      <c r="G9" s="6">
        <v>38400</v>
      </c>
    </row>
    <row r="10" spans="1:9" ht="35.1" customHeight="1" x14ac:dyDescent="0.25">
      <c r="A10" s="1" t="s">
        <v>14</v>
      </c>
      <c r="B10" s="7">
        <f>IFERROR(B6*B8/100, 0)</f>
        <v>8400</v>
      </c>
      <c r="D10" s="47" t="s">
        <v>15</v>
      </c>
      <c r="E10" s="68"/>
      <c r="F10" s="49"/>
      <c r="G10" s="8">
        <f>IFERROR(MAX(0, G8-G9), 0)</f>
        <v>153600</v>
      </c>
    </row>
    <row r="11" spans="1:9" ht="35.1" customHeight="1" x14ac:dyDescent="0.25">
      <c r="A11" s="1" t="s">
        <v>16</v>
      </c>
      <c r="B11" s="9">
        <f>IF(SUM(B39:Z39)&gt;0, SUM(B39:Z39), "")</f>
        <v>960</v>
      </c>
      <c r="D11" s="47" t="s">
        <v>17</v>
      </c>
      <c r="E11" s="68"/>
      <c r="F11" s="49"/>
      <c r="G11" s="10">
        <f>IF(G6="Erdgas", 1.11, 1)</f>
        <v>1</v>
      </c>
    </row>
    <row r="12" spans="1:9" ht="35.1" customHeight="1" x14ac:dyDescent="0.25">
      <c r="A12" s="1" t="s">
        <v>18</v>
      </c>
      <c r="B12" s="67">
        <f>IF(SUM(B40:Z40)&gt;0, SUM(B40:Z40), "")</f>
        <v>24576.1</v>
      </c>
      <c r="D12" s="47" t="s">
        <v>19</v>
      </c>
      <c r="E12" s="68"/>
      <c r="F12" s="49"/>
      <c r="G12" s="10">
        <f>IF(G6="Fernwärme", 1, IF(G7="Nein", 1, IF(G6="Erdgas", 0.8, IF(G6="Heizöl", 0.8, IF(G6="Holzpellets", 0.73, IF(G6="Stückholz", 0.58, 1))))))</f>
        <v>0.8</v>
      </c>
    </row>
    <row r="13" spans="1:9" ht="35.1" customHeight="1" x14ac:dyDescent="0.25">
      <c r="A13" s="1" t="s">
        <v>20</v>
      </c>
      <c r="B13" s="12">
        <f>COUNT(B39:Z39)</f>
        <v>12</v>
      </c>
      <c r="D13" s="47" t="s">
        <v>21</v>
      </c>
      <c r="E13" s="68"/>
      <c r="F13" s="49"/>
      <c r="G13" s="8">
        <f>IFERROR((G10/G11)*G12, 0)</f>
        <v>122880</v>
      </c>
    </row>
    <row r="14" spans="1:9" ht="35.1" customHeight="1" x14ac:dyDescent="0.25">
      <c r="D14" s="47" t="s">
        <v>22</v>
      </c>
      <c r="E14" s="68"/>
      <c r="F14" s="48"/>
      <c r="G14" s="6"/>
      <c r="H14" s="13" t="s">
        <v>23</v>
      </c>
    </row>
    <row r="15" spans="1:9" ht="35.1" customHeight="1" x14ac:dyDescent="0.25">
      <c r="D15" s="50" t="s">
        <v>24</v>
      </c>
      <c r="E15" s="69"/>
      <c r="F15" s="51"/>
      <c r="G15" s="8">
        <f>IF(G14&gt;0, G14, IF(G13&gt;0, G13, 0))</f>
        <v>122880</v>
      </c>
      <c r="H15" s="13" t="s">
        <v>25</v>
      </c>
    </row>
    <row r="17" spans="1:9" ht="24" customHeight="1" x14ac:dyDescent="0.25">
      <c r="A17" s="36" t="s">
        <v>26</v>
      </c>
      <c r="B17" s="36"/>
      <c r="C17" s="36"/>
      <c r="D17" s="36"/>
      <c r="E17" s="36"/>
      <c r="F17" s="36"/>
      <c r="G17" s="36"/>
      <c r="H17" s="36"/>
      <c r="I17" s="36"/>
    </row>
    <row r="18" spans="1:9" x14ac:dyDescent="0.25">
      <c r="A18" s="1" t="s">
        <v>27</v>
      </c>
      <c r="B18" s="15">
        <v>1</v>
      </c>
    </row>
    <row r="19" spans="1:9" x14ac:dyDescent="0.25">
      <c r="A19" s="1" t="s">
        <v>28</v>
      </c>
      <c r="B19" s="15">
        <v>1</v>
      </c>
    </row>
    <row r="20" spans="1:9" x14ac:dyDescent="0.25">
      <c r="A20" s="1" t="s">
        <v>29</v>
      </c>
      <c r="B20" s="15">
        <v>1</v>
      </c>
    </row>
    <row r="21" spans="1:9" x14ac:dyDescent="0.25">
      <c r="A21" s="1" t="s">
        <v>30</v>
      </c>
      <c r="B21" s="16">
        <f>B19*B20</f>
        <v>1</v>
      </c>
    </row>
    <row r="23" spans="1:9" ht="24" customHeight="1" x14ac:dyDescent="0.25">
      <c r="A23" s="36" t="s">
        <v>31</v>
      </c>
      <c r="B23" s="36"/>
      <c r="C23" s="36"/>
      <c r="D23" s="36"/>
      <c r="E23" s="36"/>
      <c r="F23" s="36"/>
      <c r="G23" s="36"/>
      <c r="H23" s="36"/>
      <c r="I23" s="36"/>
    </row>
    <row r="24" spans="1:9" ht="21.95" customHeight="1" x14ac:dyDescent="0.25">
      <c r="A24" s="79" t="str">
        <f>IF(B13=0, "ℹ Bitte tragen Sie Liegenschafts- und Nutzerdaten ein, um das Prüfprogramm zu starten.", IF(AND(D28&lt;=0.34, D29&gt;=0.1, OR(D30&gt;=0.85, AND(D31&lt;=0.9, D32&gt;=3))), "✔ ERGEBNIS: Die Rohrwärmekorrektur darf durchgeführt werden. " &amp; "Begründung: Der Verbrauchswärmeanteil unterschreitet die Eingriffsgrenze (r_W ≤ 0,34) und die maximale Kostenverzerrung überschreitet die Erheblichkeitsschwelle von 10 % (max(M_t) ≥ 0,10). " &amp; IF(D30&gt;=0.85, "Zudem liegt eine ausgeprägte Verbrauchsstreuung vor (S_v ≥ 0,85).", "Zudem liegt eine typische Schiefverteilung aus vielen Niedrigverbrauchern (v̂_med ≤ 0,90) und Spitzenabnehmern (v̂_max ≥ 3,00) vor."), "✘ ERGEBNIS: Eine Rohrwärmekorrektur darf nicht durchgeführt werden. " &amp; "Begründung: " &amp; IF(D28&gt;0.34, "Die Heizerfassungsrate liegt mit r_W &gt; 0,34 im unkritischen Bereich (überwiegende Erfassung an Heizkörpern).", IF(D29&lt;0.1, "Die maximale Mehrbelastung liegt unter der 10-%-Bagatellgrenze (max(M_t) &lt; 0,10, keine wesentliche Kostenverzerrung).", "Die Verbrauchsverteilung im Gebäude ist homogen; es liegt keine abrechnungsverzerrende Rohrwärmeproblematik vor."))))</f>
        <v>✔ ERGEBNIS: Die Rohrwärmekorrektur darf durchgeführt werden. Begründung: Der Verbrauchswärmeanteil unterschreitet die Eingriffsgrenze (r_W ≤ 0,34) und die maximale Kostenverzerrung überschreitet die Erheblichkeitsschwelle von 10 % (max(M_t) ≥ 0,10). Zudem liegt eine ausgeprägte Verbrauchsstreuung vor (S_v ≥ 0,85).</v>
      </c>
      <c r="B24" s="79"/>
      <c r="C24" s="79"/>
      <c r="D24" s="79"/>
      <c r="E24" s="79"/>
      <c r="F24" s="79"/>
      <c r="G24" s="79"/>
      <c r="H24" s="79"/>
      <c r="I24" s="79"/>
    </row>
    <row r="25" spans="1:9" ht="21.95" customHeight="1" x14ac:dyDescent="0.25">
      <c r="A25" s="79"/>
      <c r="B25" s="79"/>
      <c r="C25" s="79"/>
      <c r="D25" s="79"/>
      <c r="E25" s="79"/>
      <c r="F25" s="79"/>
      <c r="G25" s="79"/>
      <c r="H25" s="79"/>
      <c r="I25" s="79"/>
    </row>
    <row r="27" spans="1:9" ht="24" customHeight="1" thickBot="1" x14ac:dyDescent="0.3">
      <c r="A27" s="17" t="s">
        <v>32</v>
      </c>
      <c r="B27" s="18" t="s">
        <v>33</v>
      </c>
      <c r="C27" s="62" t="s">
        <v>34</v>
      </c>
      <c r="D27" s="62" t="s">
        <v>35</v>
      </c>
      <c r="E27" s="57" t="s">
        <v>36</v>
      </c>
      <c r="F27" s="58"/>
      <c r="G27" s="59"/>
      <c r="H27" s="43" t="s">
        <v>37</v>
      </c>
      <c r="I27" s="44"/>
    </row>
    <row r="28" spans="1:9" ht="35.1" customHeight="1" x14ac:dyDescent="0.25">
      <c r="A28" s="1" t="s">
        <v>38</v>
      </c>
      <c r="B28" s="19" t="s">
        <v>39</v>
      </c>
      <c r="C28" s="20" t="s">
        <v>40</v>
      </c>
      <c r="D28" s="63">
        <f>IFERROR(B12/(G15*B18*B21), 0)</f>
        <v>0.20000081380208332</v>
      </c>
      <c r="E28" s="54" t="str">
        <f>IF(D28&lt;=0.34, "Hoher Rohrwärmeanteil: Mindestens 20 % der Heizwärme entweichen ungemessen über freiliegende Rohre.", "Normaler Rohrwärmeanteil: Die Heizwärme wird überwiegend ordnungsgemäß an den Heizkörpern erfasst.")</f>
        <v>Hoher Rohrwärmeanteil: Mindestens 20 % der Heizwärme entweichen ungemessen über freiliegende Rohre.</v>
      </c>
      <c r="F28" s="55"/>
      <c r="G28" s="56"/>
      <c r="H28" s="39" t="str">
        <f>IF(AND(D28&lt;=0.34,D28&lt;&gt;0), "✔ ERFÜLLT", "✘ NICHT ERFÜLLT")</f>
        <v>✔ ERFÜLLT</v>
      </c>
      <c r="I28" s="40"/>
    </row>
    <row r="29" spans="1:9" ht="35.1" customHeight="1" x14ac:dyDescent="0.25">
      <c r="A29" s="1" t="s">
        <v>41</v>
      </c>
      <c r="B29" s="19" t="s">
        <v>42</v>
      </c>
      <c r="C29" s="20" t="s">
        <v>43</v>
      </c>
      <c r="D29" s="64">
        <f>IFERROR(MAX(B50:Z50), 0)</f>
        <v>0.62563983547193969</v>
      </c>
      <c r="E29" s="54" t="str">
        <f>IF(D29&gt;=0.1, "Wesentliche Ungerechtigkeit: Mindestens ein Mieter wird ohne Korrektur um über 10 % zu hoch belastet.", "Geringe Kostenverschiebung: Kein Nutzer wird um 10 % oder mehr übermäßig belastet.")</f>
        <v>Wesentliche Ungerechtigkeit: Mindestens ein Mieter wird ohne Korrektur um über 10 % zu hoch belastet.</v>
      </c>
      <c r="F29" s="55"/>
      <c r="G29" s="56"/>
      <c r="H29" s="39" t="str">
        <f>IF(D29&gt;=0.1, "✔ ERFÜLLT", "✘ NICHT ERFÜLLT")</f>
        <v>✔ ERFÜLLT</v>
      </c>
      <c r="I29" s="40"/>
    </row>
    <row r="30" spans="1:9" ht="35.1" customHeight="1" x14ac:dyDescent="0.25">
      <c r="A30" s="1" t="s">
        <v>44</v>
      </c>
      <c r="B30" s="19" t="s">
        <v>45</v>
      </c>
      <c r="C30" s="20" t="s">
        <v>46</v>
      </c>
      <c r="D30" s="63">
        <f>IFERROR(_xlfn.STDEV.S(B42:Z42), 0)</f>
        <v>1.3807720548753166</v>
      </c>
      <c r="E30" s="54" t="str">
        <f>IF(D30&gt;=0.85, "Starke Verbrauchsspreizung: Extrem unterschiedliches Heizverhalten verstärkt die Kostenverzerrung.", "Ausgeglichenes Heizverhalten: Mieter heizen relativ gleichmäßig; keine extreme Streuung.")</f>
        <v>Starke Verbrauchsspreizung: Extrem unterschiedliches Heizverhalten verstärkt die Kostenverzerrung.</v>
      </c>
      <c r="F30" s="55"/>
      <c r="G30" s="56"/>
      <c r="H30" s="39" t="str">
        <f>IF(D30&gt;=0.85, "✔ ERFÜLLT", "✘ NICHT ERFÜLLT")</f>
        <v>✔ ERFÜLLT</v>
      </c>
      <c r="I30" s="40"/>
    </row>
    <row r="31" spans="1:9" ht="35.1" customHeight="1" x14ac:dyDescent="0.25">
      <c r="A31" s="1" t="s">
        <v>47</v>
      </c>
      <c r="B31" s="19" t="s">
        <v>48</v>
      </c>
      <c r="C31" s="20" t="s">
        <v>49</v>
      </c>
      <c r="D31" s="63">
        <f>IFERROR(MEDIAN(B42:Z42), 0)</f>
        <v>0.48978688918721414</v>
      </c>
      <c r="E31" s="54" t="str">
        <f>IF(D31&lt;=0.9, "Viele Niedrigverbraucher: Mehrheit der Wohnungen heizt passiv über freiliegende Rohrstränge mit.", "Gleichmäßige Verteilung: Der Verbrauch der Wohnungen verteilt sich symmetrisch um den Schnitt.")</f>
        <v>Viele Niedrigverbraucher: Mehrheit der Wohnungen heizt passiv über freiliegende Rohrstränge mit.</v>
      </c>
      <c r="F31" s="55"/>
      <c r="G31" s="56"/>
      <c r="H31" s="39" t="str">
        <f>IF(AND(D31&lt;=0.9,D31&lt;&gt;0), "✔ ERFÜLLT", "✘ NICHT ERFÜLLT")</f>
        <v>✔ ERFÜLLT</v>
      </c>
      <c r="I31" s="40"/>
    </row>
    <row r="32" spans="1:9" ht="35.1" customHeight="1" x14ac:dyDescent="0.25">
      <c r="A32" s="1" t="s">
        <v>50</v>
      </c>
      <c r="B32" s="19" t="s">
        <v>51</v>
      </c>
      <c r="C32" s="20" t="s">
        <v>52</v>
      </c>
      <c r="D32" s="63">
        <f>IFERROR(MAX(B42:Z42), 0)</f>
        <v>4.6647183315321579</v>
      </c>
      <c r="E32" s="54" t="str">
        <f>IF(D32&gt;=3, "Extreme Spitzenverbraucher: Einzelne Wohnungen zahlen ohne Korrektur massiv für Nachbarn mit.", "Keine extremen Ausreißer vorhanden.")</f>
        <v>Extreme Spitzenverbraucher: Einzelne Wohnungen zahlen ohne Korrektur massiv für Nachbarn mit.</v>
      </c>
      <c r="F32" s="55"/>
      <c r="G32" s="56"/>
      <c r="H32" s="39" t="str">
        <f>IF(D32&gt;=3, "✔ ERFÜLLT", "✘ NICHT ERFÜLLT")</f>
        <v>✔ ERFÜLLT</v>
      </c>
      <c r="I32" s="40"/>
    </row>
    <row r="33" spans="1:27" ht="15.75" thickBot="1" x14ac:dyDescent="0.3"/>
    <row r="34" spans="1:27" ht="24" customHeight="1" thickBot="1" x14ac:dyDescent="0.3">
      <c r="A34" s="72" t="s">
        <v>53</v>
      </c>
      <c r="B34" s="73">
        <f>IF(B13=0, "", IFERROR(IF(AND(D28&lt;=0.34, D29&gt;=0.1, OR(D30&gt;=0.85, AND(D31&lt;=0.9, D32&gt;=3))), MAX(0, (0.43 - D28) * G15 * B18 * B21), 0), 0))</f>
        <v>28262.300000000003</v>
      </c>
      <c r="C34" s="74"/>
      <c r="D34" s="78" t="s">
        <v>54</v>
      </c>
      <c r="E34" s="78"/>
      <c r="F34" s="75">
        <f>IFERROR(IF(OR(B12="", B12=0), "", B12 + IFERROR(B34, 0)), "")</f>
        <v>52838.400000000001</v>
      </c>
      <c r="G34" s="74"/>
      <c r="H34" s="74"/>
      <c r="I34" s="74"/>
    </row>
    <row r="35" spans="1:27" ht="24" customHeight="1" x14ac:dyDescent="0.25">
      <c r="A35" s="60"/>
      <c r="B35" s="61"/>
      <c r="D35" s="60"/>
      <c r="F35" s="61"/>
    </row>
    <row r="36" spans="1:27" ht="24" customHeight="1" x14ac:dyDescent="0.25">
      <c r="A36" s="36" t="s">
        <v>55</v>
      </c>
      <c r="B36" s="37"/>
      <c r="C36" s="37"/>
      <c r="D36" s="37"/>
      <c r="E36" s="37"/>
      <c r="F36" s="37"/>
      <c r="G36" s="37"/>
      <c r="H36" s="37"/>
      <c r="I36" s="37"/>
      <c r="J36" s="37"/>
      <c r="K36" s="37"/>
      <c r="L36" s="37"/>
      <c r="M36" s="37"/>
      <c r="N36" s="37"/>
      <c r="O36" s="37"/>
      <c r="P36" s="37"/>
      <c r="Q36" s="37"/>
      <c r="R36" s="37"/>
      <c r="S36" s="37"/>
      <c r="T36" s="37"/>
      <c r="U36" s="37"/>
      <c r="V36" s="37"/>
      <c r="W36" s="37"/>
      <c r="X36" s="37"/>
      <c r="Y36" s="37"/>
      <c r="Z36" s="37"/>
    </row>
    <row r="37" spans="1:27" ht="20.100000000000001" customHeight="1" x14ac:dyDescent="0.25">
      <c r="A37" s="21" t="s">
        <v>56</v>
      </c>
      <c r="B37" s="18">
        <v>1</v>
      </c>
      <c r="C37" s="18">
        <v>2</v>
      </c>
      <c r="D37" s="18">
        <v>3</v>
      </c>
      <c r="E37" s="18">
        <v>4</v>
      </c>
      <c r="F37" s="18">
        <v>5</v>
      </c>
      <c r="G37" s="18">
        <v>6</v>
      </c>
      <c r="H37" s="18">
        <v>7</v>
      </c>
      <c r="I37" s="18">
        <v>8</v>
      </c>
      <c r="J37" s="18">
        <v>9</v>
      </c>
      <c r="K37" s="18">
        <v>10</v>
      </c>
      <c r="L37" s="18">
        <v>11</v>
      </c>
      <c r="M37" s="18">
        <v>12</v>
      </c>
      <c r="N37" s="18">
        <v>13</v>
      </c>
      <c r="O37" s="18">
        <v>14</v>
      </c>
      <c r="P37" s="18">
        <v>15</v>
      </c>
      <c r="Q37" s="18">
        <v>16</v>
      </c>
      <c r="R37" s="18">
        <v>17</v>
      </c>
      <c r="S37" s="18">
        <v>18</v>
      </c>
      <c r="T37" s="18">
        <v>19</v>
      </c>
      <c r="U37" s="18">
        <v>20</v>
      </c>
      <c r="V37" s="18">
        <v>21</v>
      </c>
      <c r="W37" s="18">
        <v>22</v>
      </c>
      <c r="X37" s="18">
        <v>23</v>
      </c>
      <c r="Y37" s="18">
        <v>24</v>
      </c>
      <c r="Z37" s="18">
        <v>25</v>
      </c>
      <c r="AA37" s="18" t="s">
        <v>57</v>
      </c>
    </row>
    <row r="38" spans="1:27" ht="20.100000000000001" customHeight="1" x14ac:dyDescent="0.25">
      <c r="A38" s="21" t="s">
        <v>58</v>
      </c>
      <c r="B38" s="3" t="s">
        <v>315</v>
      </c>
      <c r="C38" s="3" t="s">
        <v>316</v>
      </c>
      <c r="D38" s="3" t="s">
        <v>317</v>
      </c>
      <c r="E38" s="3" t="s">
        <v>318</v>
      </c>
      <c r="F38" s="3" t="s">
        <v>319</v>
      </c>
      <c r="G38" s="3" t="s">
        <v>320</v>
      </c>
      <c r="H38" s="3" t="s">
        <v>321</v>
      </c>
      <c r="I38" s="3" t="s">
        <v>322</v>
      </c>
      <c r="J38" s="3" t="s">
        <v>323</v>
      </c>
      <c r="K38" s="3" t="s">
        <v>324</v>
      </c>
      <c r="L38" s="3" t="s">
        <v>325</v>
      </c>
      <c r="M38" s="3" t="s">
        <v>326</v>
      </c>
      <c r="N38" s="3"/>
      <c r="O38" s="3"/>
      <c r="P38" s="3"/>
      <c r="Q38" s="3"/>
      <c r="R38" s="3"/>
      <c r="S38" s="3"/>
      <c r="T38" s="3"/>
      <c r="U38" s="3"/>
      <c r="V38" s="3"/>
      <c r="W38" s="3"/>
      <c r="X38" s="3"/>
      <c r="Y38" s="3"/>
      <c r="Z38" s="3"/>
      <c r="AA38" s="24" t="s">
        <v>59</v>
      </c>
    </row>
    <row r="39" spans="1:27" ht="20.100000000000001" customHeight="1" x14ac:dyDescent="0.25">
      <c r="A39" s="21" t="s">
        <v>60</v>
      </c>
      <c r="B39" s="25">
        <v>80</v>
      </c>
      <c r="C39" s="25">
        <v>60</v>
      </c>
      <c r="D39" s="25">
        <v>80</v>
      </c>
      <c r="E39" s="25">
        <v>100</v>
      </c>
      <c r="F39" s="25">
        <v>80</v>
      </c>
      <c r="G39" s="25">
        <v>60</v>
      </c>
      <c r="H39" s="25">
        <v>80</v>
      </c>
      <c r="I39" s="25">
        <v>100</v>
      </c>
      <c r="J39" s="25">
        <v>80</v>
      </c>
      <c r="K39" s="25">
        <v>60</v>
      </c>
      <c r="L39" s="25">
        <v>80</v>
      </c>
      <c r="M39" s="25">
        <v>100</v>
      </c>
      <c r="N39" s="25"/>
      <c r="O39" s="25"/>
      <c r="P39" s="25"/>
      <c r="Q39" s="25"/>
      <c r="R39" s="25"/>
      <c r="S39" s="25"/>
      <c r="T39" s="25"/>
      <c r="U39" s="25"/>
      <c r="V39" s="25"/>
      <c r="W39" s="25"/>
      <c r="X39" s="25"/>
      <c r="Y39" s="25"/>
      <c r="Z39" s="25"/>
      <c r="AA39" s="26">
        <f>SUM(B39:Z39)</f>
        <v>960</v>
      </c>
    </row>
    <row r="40" spans="1:27" ht="20.100000000000001" customHeight="1" x14ac:dyDescent="0.25">
      <c r="A40" s="21" t="s">
        <v>61</v>
      </c>
      <c r="B40" s="25">
        <v>82</v>
      </c>
      <c r="C40" s="25">
        <v>1967.4</v>
      </c>
      <c r="D40" s="25">
        <v>6230.1</v>
      </c>
      <c r="E40" s="25">
        <v>327.9</v>
      </c>
      <c r="F40" s="25">
        <v>1639.5</v>
      </c>
      <c r="G40" s="25">
        <v>8197.5</v>
      </c>
      <c r="H40" s="25">
        <v>295.10000000000002</v>
      </c>
      <c r="I40" s="25">
        <v>819.7</v>
      </c>
      <c r="J40" s="25">
        <v>131.19999999999999</v>
      </c>
      <c r="K40" s="25">
        <v>1442.8</v>
      </c>
      <c r="L40" s="25">
        <v>2951.1</v>
      </c>
      <c r="M40" s="25">
        <v>491.8</v>
      </c>
      <c r="N40" s="25"/>
      <c r="O40" s="25"/>
      <c r="P40" s="25"/>
      <c r="Q40" s="25"/>
      <c r="R40" s="25"/>
      <c r="S40" s="25"/>
      <c r="T40" s="25"/>
      <c r="U40" s="25"/>
      <c r="V40" s="25"/>
      <c r="W40" s="25"/>
      <c r="X40" s="25"/>
      <c r="Y40" s="25"/>
      <c r="Z40" s="25"/>
      <c r="AA40" s="65">
        <f>SUM(B40:Z40)</f>
        <v>24576.1</v>
      </c>
    </row>
    <row r="41" spans="1:27" ht="20.100000000000001" customHeight="1" x14ac:dyDescent="0.25">
      <c r="A41" s="21" t="s">
        <v>62</v>
      </c>
      <c r="B41" s="28">
        <f t="shared" ref="B41:Z41" si="0">IF(OR(B39="", B39&lt;=0), "", IFERROR(B40/B39, ""))</f>
        <v>1.0249999999999999</v>
      </c>
      <c r="C41" s="28">
        <f t="shared" si="0"/>
        <v>32.79</v>
      </c>
      <c r="D41" s="28">
        <f t="shared" si="0"/>
        <v>77.876249999999999</v>
      </c>
      <c r="E41" s="28">
        <f t="shared" si="0"/>
        <v>3.2789999999999999</v>
      </c>
      <c r="F41" s="28">
        <f t="shared" si="0"/>
        <v>20.493749999999999</v>
      </c>
      <c r="G41" s="28">
        <f t="shared" si="0"/>
        <v>136.625</v>
      </c>
      <c r="H41" s="28">
        <f t="shared" si="0"/>
        <v>3.6887500000000002</v>
      </c>
      <c r="I41" s="28">
        <f t="shared" si="0"/>
        <v>8.197000000000001</v>
      </c>
      <c r="J41" s="28">
        <f t="shared" si="0"/>
        <v>1.64</v>
      </c>
      <c r="K41" s="28">
        <f t="shared" si="0"/>
        <v>24.046666666666667</v>
      </c>
      <c r="L41" s="28">
        <f t="shared" si="0"/>
        <v>36.888750000000002</v>
      </c>
      <c r="M41" s="28">
        <f t="shared" si="0"/>
        <v>4.9180000000000001</v>
      </c>
      <c r="N41" s="28" t="str">
        <f t="shared" si="0"/>
        <v/>
      </c>
      <c r="O41" s="28" t="str">
        <f t="shared" si="0"/>
        <v/>
      </c>
      <c r="P41" s="28" t="str">
        <f t="shared" si="0"/>
        <v/>
      </c>
      <c r="Q41" s="28" t="str">
        <f t="shared" si="0"/>
        <v/>
      </c>
      <c r="R41" s="28" t="str">
        <f t="shared" si="0"/>
        <v/>
      </c>
      <c r="S41" s="28" t="str">
        <f t="shared" si="0"/>
        <v/>
      </c>
      <c r="T41" s="28" t="str">
        <f t="shared" si="0"/>
        <v/>
      </c>
      <c r="U41" s="28" t="str">
        <f t="shared" si="0"/>
        <v/>
      </c>
      <c r="V41" s="28" t="str">
        <f t="shared" si="0"/>
        <v/>
      </c>
      <c r="W41" s="28" t="str">
        <f t="shared" si="0"/>
        <v/>
      </c>
      <c r="X41" s="28" t="str">
        <f t="shared" si="0"/>
        <v/>
      </c>
      <c r="Y41" s="28" t="str">
        <f t="shared" si="0"/>
        <v/>
      </c>
      <c r="Z41" s="28" t="str">
        <f t="shared" si="0"/>
        <v/>
      </c>
      <c r="AA41" s="27">
        <f>IFERROR(AA40/AA39, 0)</f>
        <v>25.600104166666664</v>
      </c>
    </row>
    <row r="42" spans="1:27" ht="20.100000000000001" customHeight="1" x14ac:dyDescent="0.25">
      <c r="A42" s="21" t="s">
        <v>63</v>
      </c>
      <c r="B42" s="16">
        <f t="shared" ref="B42:Z42" si="1">IF(B41="", "", IFERROR(B41/AVERAGE($B$41:$Z$41), ""))</f>
        <v>3.4996057016069254E-2</v>
      </c>
      <c r="C42" s="16">
        <f t="shared" si="1"/>
        <v>1.119532399567718</v>
      </c>
      <c r="D42" s="16">
        <f t="shared" si="1"/>
        <v>2.6588894489733299</v>
      </c>
      <c r="E42" s="16">
        <f t="shared" si="1"/>
        <v>0.1119532399567718</v>
      </c>
      <c r="F42" s="16">
        <f t="shared" si="1"/>
        <v>0.69970774972982364</v>
      </c>
      <c r="G42" s="16">
        <f t="shared" si="1"/>
        <v>4.6647183315321579</v>
      </c>
      <c r="H42" s="16">
        <f t="shared" si="1"/>
        <v>0.12594312713953704</v>
      </c>
      <c r="I42" s="16">
        <f t="shared" si="1"/>
        <v>0.27986602864460464</v>
      </c>
      <c r="J42" s="16">
        <f t="shared" si="1"/>
        <v>5.5993691225710809E-2</v>
      </c>
      <c r="K42" s="16">
        <f t="shared" si="1"/>
        <v>0.82101318801275969</v>
      </c>
      <c r="L42" s="16">
        <f t="shared" si="1"/>
        <v>1.2594739495136829</v>
      </c>
      <c r="M42" s="16">
        <f t="shared" si="1"/>
        <v>0.1679127886878328</v>
      </c>
      <c r="N42" s="16" t="str">
        <f t="shared" si="1"/>
        <v/>
      </c>
      <c r="O42" s="16" t="str">
        <f t="shared" si="1"/>
        <v/>
      </c>
      <c r="P42" s="16" t="str">
        <f t="shared" si="1"/>
        <v/>
      </c>
      <c r="Q42" s="16" t="str">
        <f t="shared" si="1"/>
        <v/>
      </c>
      <c r="R42" s="16" t="str">
        <f t="shared" si="1"/>
        <v/>
      </c>
      <c r="S42" s="16" t="str">
        <f t="shared" si="1"/>
        <v/>
      </c>
      <c r="T42" s="16" t="str">
        <f t="shared" si="1"/>
        <v/>
      </c>
      <c r="U42" s="16" t="str">
        <f t="shared" si="1"/>
        <v/>
      </c>
      <c r="V42" s="16" t="str">
        <f t="shared" si="1"/>
        <v/>
      </c>
      <c r="W42" s="16" t="str">
        <f t="shared" si="1"/>
        <v/>
      </c>
      <c r="X42" s="16" t="str">
        <f t="shared" si="1"/>
        <v/>
      </c>
      <c r="Y42" s="16" t="str">
        <f t="shared" si="1"/>
        <v/>
      </c>
      <c r="Z42" s="16" t="str">
        <f t="shared" si="1"/>
        <v/>
      </c>
      <c r="AA42" s="24"/>
    </row>
    <row r="43" spans="1:27" ht="20.100000000000001" customHeight="1" x14ac:dyDescent="0.25">
      <c r="A43" s="21" t="s">
        <v>64</v>
      </c>
      <c r="B43" s="29">
        <f t="shared" ref="B43:Z43" si="2">IF(B39="", "", IFERROR(($B$9/$B$11)*B39, ""))</f>
        <v>300</v>
      </c>
      <c r="C43" s="29">
        <f t="shared" si="2"/>
        <v>225</v>
      </c>
      <c r="D43" s="29">
        <f t="shared" si="2"/>
        <v>300</v>
      </c>
      <c r="E43" s="29">
        <f t="shared" si="2"/>
        <v>375</v>
      </c>
      <c r="F43" s="29">
        <f t="shared" si="2"/>
        <v>300</v>
      </c>
      <c r="G43" s="29">
        <f t="shared" si="2"/>
        <v>225</v>
      </c>
      <c r="H43" s="29">
        <f t="shared" si="2"/>
        <v>300</v>
      </c>
      <c r="I43" s="29">
        <f t="shared" si="2"/>
        <v>375</v>
      </c>
      <c r="J43" s="29">
        <f t="shared" si="2"/>
        <v>300</v>
      </c>
      <c r="K43" s="29">
        <f t="shared" si="2"/>
        <v>225</v>
      </c>
      <c r="L43" s="29">
        <f t="shared" si="2"/>
        <v>300</v>
      </c>
      <c r="M43" s="29">
        <f t="shared" si="2"/>
        <v>375</v>
      </c>
      <c r="N43" s="29" t="str">
        <f t="shared" si="2"/>
        <v/>
      </c>
      <c r="O43" s="29" t="str">
        <f t="shared" si="2"/>
        <v/>
      </c>
      <c r="P43" s="29" t="str">
        <f t="shared" si="2"/>
        <v/>
      </c>
      <c r="Q43" s="29" t="str">
        <f t="shared" si="2"/>
        <v/>
      </c>
      <c r="R43" s="29" t="str">
        <f t="shared" si="2"/>
        <v/>
      </c>
      <c r="S43" s="29" t="str">
        <f t="shared" si="2"/>
        <v/>
      </c>
      <c r="T43" s="29" t="str">
        <f t="shared" si="2"/>
        <v/>
      </c>
      <c r="U43" s="29" t="str">
        <f t="shared" si="2"/>
        <v/>
      </c>
      <c r="V43" s="29" t="str">
        <f t="shared" si="2"/>
        <v/>
      </c>
      <c r="W43" s="29" t="str">
        <f t="shared" si="2"/>
        <v/>
      </c>
      <c r="X43" s="29" t="str">
        <f t="shared" si="2"/>
        <v/>
      </c>
      <c r="Y43" s="29" t="str">
        <f t="shared" si="2"/>
        <v/>
      </c>
      <c r="Z43" s="29" t="str">
        <f t="shared" si="2"/>
        <v/>
      </c>
      <c r="AA43" s="30">
        <f t="shared" ref="AA43:AA49" si="3">SUM(B43:Z43)</f>
        <v>3600</v>
      </c>
    </row>
    <row r="44" spans="1:27" ht="20.100000000000001" customHeight="1" x14ac:dyDescent="0.25">
      <c r="A44" s="21" t="s">
        <v>65</v>
      </c>
      <c r="B44" s="29">
        <f>IF(B40="", "", IFERROR(($B$10/$B$12)*B40, ""))</f>
        <v>28.027229706910376</v>
      </c>
      <c r="C44" s="29">
        <f t="shared" ref="C44:Z44" si="4">IF(C40="", "", IFERROR(($B$10/$B$12)*C40, ""))</f>
        <v>672.44843567531075</v>
      </c>
      <c r="D44" s="29">
        <f t="shared" si="4"/>
        <v>2129.4200463051507</v>
      </c>
      <c r="E44" s="29">
        <f t="shared" si="4"/>
        <v>112.07473927921843</v>
      </c>
      <c r="F44" s="29">
        <f t="shared" si="4"/>
        <v>560.37369639609221</v>
      </c>
      <c r="G44" s="29">
        <f t="shared" si="4"/>
        <v>2801.8684819804612</v>
      </c>
      <c r="H44" s="29">
        <f t="shared" si="4"/>
        <v>100.8638473964543</v>
      </c>
      <c r="I44" s="29">
        <f t="shared" si="4"/>
        <v>280.16975842383459</v>
      </c>
      <c r="J44" s="29">
        <f t="shared" si="4"/>
        <v>44.8435675310566</v>
      </c>
      <c r="K44" s="29">
        <f t="shared" si="4"/>
        <v>493.14252464793037</v>
      </c>
      <c r="L44" s="29">
        <f t="shared" si="4"/>
        <v>1008.672653512966</v>
      </c>
      <c r="M44" s="29">
        <f t="shared" si="4"/>
        <v>168.09501914461615</v>
      </c>
      <c r="N44" s="29" t="str">
        <f t="shared" si="4"/>
        <v/>
      </c>
      <c r="O44" s="29" t="str">
        <f t="shared" si="4"/>
        <v/>
      </c>
      <c r="P44" s="29" t="str">
        <f t="shared" si="4"/>
        <v/>
      </c>
      <c r="Q44" s="29" t="str">
        <f t="shared" si="4"/>
        <v/>
      </c>
      <c r="R44" s="29" t="str">
        <f t="shared" si="4"/>
        <v/>
      </c>
      <c r="S44" s="29" t="str">
        <f t="shared" si="4"/>
        <v/>
      </c>
      <c r="T44" s="29" t="str">
        <f t="shared" si="4"/>
        <v/>
      </c>
      <c r="U44" s="29" t="str">
        <f t="shared" si="4"/>
        <v/>
      </c>
      <c r="V44" s="29" t="str">
        <f t="shared" si="4"/>
        <v/>
      </c>
      <c r="W44" s="29" t="str">
        <f t="shared" si="4"/>
        <v/>
      </c>
      <c r="X44" s="29" t="str">
        <f t="shared" si="4"/>
        <v/>
      </c>
      <c r="Y44" s="29" t="str">
        <f t="shared" si="4"/>
        <v/>
      </c>
      <c r="Z44" s="29" t="str">
        <f t="shared" si="4"/>
        <v/>
      </c>
      <c r="AA44" s="30">
        <f t="shared" si="3"/>
        <v>8400.0000000000018</v>
      </c>
    </row>
    <row r="45" spans="1:27" ht="20.100000000000001" customHeight="1" x14ac:dyDescent="0.25">
      <c r="A45" s="14" t="s">
        <v>66</v>
      </c>
      <c r="B45" s="7">
        <f>IF(B39="", "", IFERROR(B43+B44, ""))</f>
        <v>328.02722970691036</v>
      </c>
      <c r="C45" s="7">
        <f t="shared" ref="C45:Z45" si="5">IF(C39="", "", IFERROR(C43+C44, ""))</f>
        <v>897.44843567531075</v>
      </c>
      <c r="D45" s="7">
        <f t="shared" si="5"/>
        <v>2429.4200463051507</v>
      </c>
      <c r="E45" s="7">
        <f t="shared" si="5"/>
        <v>487.07473927921842</v>
      </c>
      <c r="F45" s="7">
        <f t="shared" si="5"/>
        <v>860.37369639609221</v>
      </c>
      <c r="G45" s="7">
        <f t="shared" si="5"/>
        <v>3026.8684819804612</v>
      </c>
      <c r="H45" s="7">
        <f t="shared" si="5"/>
        <v>400.86384739645428</v>
      </c>
      <c r="I45" s="7">
        <f t="shared" si="5"/>
        <v>655.16975842383454</v>
      </c>
      <c r="J45" s="7">
        <f t="shared" si="5"/>
        <v>344.84356753105658</v>
      </c>
      <c r="K45" s="7">
        <f t="shared" si="5"/>
        <v>718.14252464793037</v>
      </c>
      <c r="L45" s="7">
        <f t="shared" si="5"/>
        <v>1308.672653512966</v>
      </c>
      <c r="M45" s="7">
        <f t="shared" si="5"/>
        <v>543.09501914461612</v>
      </c>
      <c r="N45" s="7" t="str">
        <f t="shared" si="5"/>
        <v/>
      </c>
      <c r="O45" s="7" t="str">
        <f t="shared" si="5"/>
        <v/>
      </c>
      <c r="P45" s="7" t="str">
        <f t="shared" si="5"/>
        <v/>
      </c>
      <c r="Q45" s="7" t="str">
        <f t="shared" si="5"/>
        <v/>
      </c>
      <c r="R45" s="7" t="str">
        <f t="shared" si="5"/>
        <v/>
      </c>
      <c r="S45" s="7" t="str">
        <f t="shared" si="5"/>
        <v/>
      </c>
      <c r="T45" s="7" t="str">
        <f t="shared" si="5"/>
        <v/>
      </c>
      <c r="U45" s="7" t="str">
        <f t="shared" si="5"/>
        <v/>
      </c>
      <c r="V45" s="7" t="str">
        <f t="shared" si="5"/>
        <v/>
      </c>
      <c r="W45" s="7" t="str">
        <f t="shared" si="5"/>
        <v/>
      </c>
      <c r="X45" s="7" t="str">
        <f t="shared" si="5"/>
        <v/>
      </c>
      <c r="Y45" s="7" t="str">
        <f t="shared" si="5"/>
        <v/>
      </c>
      <c r="Z45" s="7" t="str">
        <f t="shared" si="5"/>
        <v/>
      </c>
      <c r="AA45" s="30">
        <f t="shared" si="3"/>
        <v>12000</v>
      </c>
    </row>
    <row r="46" spans="1:27" ht="20.100000000000001" customHeight="1" x14ac:dyDescent="0.25">
      <c r="A46" s="21" t="s">
        <v>67</v>
      </c>
      <c r="B46" s="28">
        <f>IF(B39="", "", IFERROR($B$34*(B39/$B$11), ""))</f>
        <v>2355.1916666666666</v>
      </c>
      <c r="C46" s="28">
        <f>IF(C39="", "", IFERROR($B$34*(C39/$B$11), ""))</f>
        <v>1766.3937500000002</v>
      </c>
      <c r="D46" s="28">
        <f>IF(D39="", "", IFERROR($B$34*(D39/$B$11), ""))</f>
        <v>2355.1916666666666</v>
      </c>
      <c r="E46" s="28">
        <f>IF(E39="", "", IFERROR($B$34*(E39/$B$11), ""))</f>
        <v>2943.9895833333339</v>
      </c>
      <c r="F46" s="28">
        <f>IF(F39="", "", IFERROR($B$34*(F39/$B$11), ""))</f>
        <v>2355.1916666666666</v>
      </c>
      <c r="G46" s="28">
        <f>IF(G39="", "", IFERROR($B$34*(G39/$B$11), ""))</f>
        <v>1766.3937500000002</v>
      </c>
      <c r="H46" s="28">
        <f>IF(H39="", "", IFERROR($B$34*(H39/$B$11), ""))</f>
        <v>2355.1916666666666</v>
      </c>
      <c r="I46" s="28">
        <f>IF(I39="", "", IFERROR($B$34*(I39/$B$11), ""))</f>
        <v>2943.9895833333339</v>
      </c>
      <c r="J46" s="28">
        <f>IF(J39="", "", IFERROR($B$34*(J39/$B$11), ""))</f>
        <v>2355.1916666666666</v>
      </c>
      <c r="K46" s="28">
        <f>IF(K39="", "", IFERROR($B$34*(K39/$B$11), ""))</f>
        <v>1766.3937500000002</v>
      </c>
      <c r="L46" s="28">
        <f>IF(L39="", "", IFERROR($B$34*(L39/$B$11), ""))</f>
        <v>2355.1916666666666</v>
      </c>
      <c r="M46" s="28">
        <f>IF(M39="", "", IFERROR($B$34*(M39/$B$11), ""))</f>
        <v>2943.9895833333339</v>
      </c>
      <c r="N46" s="28" t="str">
        <f>IF(N39="", "", IFERROR($B$34*(N39/$B$11), ""))</f>
        <v/>
      </c>
      <c r="O46" s="28" t="str">
        <f>IF(O39="", "", IFERROR($B$34*(O39/$B$11), ""))</f>
        <v/>
      </c>
      <c r="P46" s="28" t="str">
        <f>IF(P39="", "", IFERROR($B$34*(P39/$B$11), ""))</f>
        <v/>
      </c>
      <c r="Q46" s="28" t="str">
        <f>IF(Q39="", "", IFERROR($B$34*(Q39/$B$11), ""))</f>
        <v/>
      </c>
      <c r="R46" s="28" t="str">
        <f>IF(R39="", "", IFERROR($B$34*(R39/$B$11), ""))</f>
        <v/>
      </c>
      <c r="S46" s="28" t="str">
        <f>IF(S39="", "", IFERROR($B$34*(S39/$B$11), ""))</f>
        <v/>
      </c>
      <c r="T46" s="28" t="str">
        <f>IF(T39="", "", IFERROR($B$34*(T39/$B$11), ""))</f>
        <v/>
      </c>
      <c r="U46" s="28" t="str">
        <f>IF(U39="", "", IFERROR($B$34*(U39/$B$11), ""))</f>
        <v/>
      </c>
      <c r="V46" s="28" t="str">
        <f>IF(V39="", "", IFERROR($B$34*(V39/$B$11), ""))</f>
        <v/>
      </c>
      <c r="W46" s="28" t="str">
        <f>IF(W39="", "", IFERROR($B$34*(W39/$B$11), ""))</f>
        <v/>
      </c>
      <c r="X46" s="28" t="str">
        <f>IF(X39="", "", IFERROR($B$34*(X39/$B$11), ""))</f>
        <v/>
      </c>
      <c r="Y46" s="28" t="str">
        <f>IF(Y39="", "", IFERROR($B$34*(Y39/$B$11), ""))</f>
        <v/>
      </c>
      <c r="Z46" s="28" t="str">
        <f>IF(Z39="", "", IFERROR($B$34*(Z39/$B$11), ""))</f>
        <v/>
      </c>
      <c r="AA46" s="65">
        <f t="shared" si="3"/>
        <v>28262.299999999996</v>
      </c>
    </row>
    <row r="47" spans="1:27" ht="20.100000000000001" customHeight="1" x14ac:dyDescent="0.25">
      <c r="A47" s="21" t="s">
        <v>68</v>
      </c>
      <c r="B47" s="11">
        <f t="shared" ref="B47:Z47" si="6">IF(B39="", "", IFERROR(B40+B46, ""))</f>
        <v>2437.1916666666666</v>
      </c>
      <c r="C47" s="11">
        <f t="shared" si="6"/>
        <v>3733.7937500000003</v>
      </c>
      <c r="D47" s="11">
        <f t="shared" si="6"/>
        <v>8585.2916666666679</v>
      </c>
      <c r="E47" s="11">
        <f t="shared" si="6"/>
        <v>3271.889583333334</v>
      </c>
      <c r="F47" s="11">
        <f t="shared" si="6"/>
        <v>3994.6916666666666</v>
      </c>
      <c r="G47" s="11">
        <f t="shared" si="6"/>
        <v>9963.8937499999993</v>
      </c>
      <c r="H47" s="11">
        <f t="shared" si="6"/>
        <v>2650.2916666666665</v>
      </c>
      <c r="I47" s="11">
        <f t="shared" si="6"/>
        <v>3763.6895833333338</v>
      </c>
      <c r="J47" s="11">
        <f t="shared" si="6"/>
        <v>2486.3916666666664</v>
      </c>
      <c r="K47" s="11">
        <f t="shared" si="6"/>
        <v>3209.1937500000004</v>
      </c>
      <c r="L47" s="11">
        <f t="shared" si="6"/>
        <v>5306.2916666666661</v>
      </c>
      <c r="M47" s="11">
        <f t="shared" si="6"/>
        <v>3435.7895833333341</v>
      </c>
      <c r="N47" s="11" t="str">
        <f t="shared" si="6"/>
        <v/>
      </c>
      <c r="O47" s="11" t="str">
        <f t="shared" si="6"/>
        <v/>
      </c>
      <c r="P47" s="11" t="str">
        <f t="shared" si="6"/>
        <v/>
      </c>
      <c r="Q47" s="11" t="str">
        <f t="shared" si="6"/>
        <v/>
      </c>
      <c r="R47" s="11" t="str">
        <f t="shared" si="6"/>
        <v/>
      </c>
      <c r="S47" s="11" t="str">
        <f t="shared" si="6"/>
        <v/>
      </c>
      <c r="T47" s="11" t="str">
        <f t="shared" si="6"/>
        <v/>
      </c>
      <c r="U47" s="11" t="str">
        <f t="shared" si="6"/>
        <v/>
      </c>
      <c r="V47" s="11" t="str">
        <f t="shared" si="6"/>
        <v/>
      </c>
      <c r="W47" s="11" t="str">
        <f t="shared" si="6"/>
        <v/>
      </c>
      <c r="X47" s="11" t="str">
        <f t="shared" si="6"/>
        <v/>
      </c>
      <c r="Y47" s="11" t="str">
        <f t="shared" si="6"/>
        <v/>
      </c>
      <c r="Z47" s="11" t="str">
        <f t="shared" si="6"/>
        <v/>
      </c>
      <c r="AA47" s="65">
        <f t="shared" si="3"/>
        <v>52838.399999999994</v>
      </c>
    </row>
    <row r="48" spans="1:27" ht="20.100000000000001" customHeight="1" x14ac:dyDescent="0.25">
      <c r="A48" s="21" t="s">
        <v>69</v>
      </c>
      <c r="B48" s="29">
        <f>IF(B39="", "", IFERROR(($B$10/$F$34)*B47, ""))</f>
        <v>387.45325369428292</v>
      </c>
      <c r="C48" s="29">
        <f>IF(C39="", "", IFERROR(($B$10/$F$34)*C47, ""))</f>
        <v>593.58094681140994</v>
      </c>
      <c r="D48" s="29">
        <f>IF(D39="", "", IFERROR(($B$10/$F$34)*D47, ""))</f>
        <v>1364.8492384326551</v>
      </c>
      <c r="E48" s="29">
        <f>IF(E39="", "", IFERROR(($B$10/$F$34)*E47, ""))</f>
        <v>520.14959764110961</v>
      </c>
      <c r="F48" s="29">
        <f>IF(F39="", "", IFERROR(($B$10/$F$34)*F47, ""))</f>
        <v>635.05726895591079</v>
      </c>
      <c r="G48" s="29">
        <f>IF(G39="", "", IFERROR(($B$10/$F$34)*G47, ""))</f>
        <v>1584.0129053869912</v>
      </c>
      <c r="H48" s="29">
        <f>IF(H39="", "", IFERROR(($B$10/$F$34)*H47, ""))</f>
        <v>421.3308881419573</v>
      </c>
      <c r="I48" s="29">
        <f>IF(I39="", "", IFERROR(($B$10/$F$34)*I47, ""))</f>
        <v>598.33364560622579</v>
      </c>
      <c r="J48" s="29">
        <f>IF(J39="", "", IFERROR(($B$10/$F$34)*J47, ""))</f>
        <v>395.27483799660848</v>
      </c>
      <c r="K48" s="29">
        <f>IF(K39="", "", IFERROR(($B$10/$F$34)*K47, ""))</f>
        <v>510.18250931140989</v>
      </c>
      <c r="L48" s="29">
        <f>IF(L39="", "", IFERROR(($B$10/$F$34)*L47, ""))</f>
        <v>843.56926023498045</v>
      </c>
      <c r="M48" s="29">
        <f>IF(M39="", "", IFERROR(($B$10/$F$34)*M47, ""))</f>
        <v>546.20564778645837</v>
      </c>
      <c r="N48" s="29" t="str">
        <f>IF(N39="", "", IFERROR(($B$10/$F$34)*N47, ""))</f>
        <v/>
      </c>
      <c r="O48" s="29" t="str">
        <f>IF(O39="", "", IFERROR(($B$10/$F$34)*O47, ""))</f>
        <v/>
      </c>
      <c r="P48" s="29" t="str">
        <f>IF(P39="", "", IFERROR(($B$10/$F$34)*P47, ""))</f>
        <v/>
      </c>
      <c r="Q48" s="29" t="str">
        <f>IF(Q39="", "", IFERROR(($B$10/$F$34)*Q47, ""))</f>
        <v/>
      </c>
      <c r="R48" s="29" t="str">
        <f>IF(R39="", "", IFERROR(($B$10/$F$34)*R47, ""))</f>
        <v/>
      </c>
      <c r="S48" s="29" t="str">
        <f>IF(S39="", "", IFERROR(($B$10/$F$34)*S47, ""))</f>
        <v/>
      </c>
      <c r="T48" s="29" t="str">
        <f>IF(T39="", "", IFERROR(($B$10/$F$34)*T47, ""))</f>
        <v/>
      </c>
      <c r="U48" s="29" t="str">
        <f>IF(U39="", "", IFERROR(($B$10/$F$34)*U47, ""))</f>
        <v/>
      </c>
      <c r="V48" s="29" t="str">
        <f>IF(V39="", "", IFERROR(($B$10/$F$34)*V47, ""))</f>
        <v/>
      </c>
      <c r="W48" s="29" t="str">
        <f>IF(W39="", "", IFERROR(($B$10/$F$34)*W47, ""))</f>
        <v/>
      </c>
      <c r="X48" s="29" t="str">
        <f>IF(X39="", "", IFERROR(($B$10/$F$34)*X47, ""))</f>
        <v/>
      </c>
      <c r="Y48" s="29" t="str">
        <f>IF(Y39="", "", IFERROR(($B$10/$F$34)*Y47, ""))</f>
        <v/>
      </c>
      <c r="Z48" s="29" t="str">
        <f>IF(Z39="", "", IFERROR(($B$10/$F$34)*Z47, ""))</f>
        <v/>
      </c>
      <c r="AA48" s="30">
        <f t="shared" si="3"/>
        <v>8400.0000000000018</v>
      </c>
    </row>
    <row r="49" spans="1:27" ht="20.100000000000001" customHeight="1" x14ac:dyDescent="0.25">
      <c r="A49" s="14" t="s">
        <v>70</v>
      </c>
      <c r="B49" s="7">
        <f t="shared" ref="B49:Z49" si="7">IF(B39="", "", IFERROR(B43+B48, ""))</f>
        <v>687.45325369428292</v>
      </c>
      <c r="C49" s="7">
        <f t="shared" si="7"/>
        <v>818.58094681140994</v>
      </c>
      <c r="D49" s="7">
        <f t="shared" si="7"/>
        <v>1664.8492384326551</v>
      </c>
      <c r="E49" s="7">
        <f t="shared" si="7"/>
        <v>895.14959764110961</v>
      </c>
      <c r="F49" s="7">
        <f t="shared" si="7"/>
        <v>935.05726895591079</v>
      </c>
      <c r="G49" s="7">
        <f t="shared" si="7"/>
        <v>1809.0129053869912</v>
      </c>
      <c r="H49" s="7">
        <f t="shared" si="7"/>
        <v>721.3308881419573</v>
      </c>
      <c r="I49" s="7">
        <f t="shared" si="7"/>
        <v>973.33364560622579</v>
      </c>
      <c r="J49" s="7">
        <f t="shared" si="7"/>
        <v>695.27483799660854</v>
      </c>
      <c r="K49" s="7">
        <f t="shared" si="7"/>
        <v>735.18250931140983</v>
      </c>
      <c r="L49" s="7">
        <f t="shared" si="7"/>
        <v>1143.5692602349804</v>
      </c>
      <c r="M49" s="7">
        <f t="shared" si="7"/>
        <v>921.20564778645837</v>
      </c>
      <c r="N49" s="7" t="str">
        <f t="shared" si="7"/>
        <v/>
      </c>
      <c r="O49" s="7" t="str">
        <f t="shared" si="7"/>
        <v/>
      </c>
      <c r="P49" s="7" t="str">
        <f t="shared" si="7"/>
        <v/>
      </c>
      <c r="Q49" s="7" t="str">
        <f t="shared" si="7"/>
        <v/>
      </c>
      <c r="R49" s="7" t="str">
        <f t="shared" si="7"/>
        <v/>
      </c>
      <c r="S49" s="7" t="str">
        <f t="shared" si="7"/>
        <v/>
      </c>
      <c r="T49" s="7" t="str">
        <f t="shared" si="7"/>
        <v/>
      </c>
      <c r="U49" s="7" t="str">
        <f t="shared" si="7"/>
        <v/>
      </c>
      <c r="V49" s="7" t="str">
        <f t="shared" si="7"/>
        <v/>
      </c>
      <c r="W49" s="7" t="str">
        <f t="shared" si="7"/>
        <v/>
      </c>
      <c r="X49" s="7" t="str">
        <f t="shared" si="7"/>
        <v/>
      </c>
      <c r="Y49" s="7" t="str">
        <f t="shared" si="7"/>
        <v/>
      </c>
      <c r="Z49" s="7" t="str">
        <f t="shared" si="7"/>
        <v/>
      </c>
      <c r="AA49" s="30">
        <f t="shared" si="3"/>
        <v>12000</v>
      </c>
    </row>
    <row r="50" spans="1:27" ht="20.100000000000001" customHeight="1" x14ac:dyDescent="0.25">
      <c r="A50" s="14" t="s">
        <v>71</v>
      </c>
      <c r="B50" s="23">
        <f t="shared" ref="B50:Z50" si="8">IF(OR(B39="", $D$28&lt;=0), "", IFERROR((($B$8/100)*(B42-1)*(1-($D$28/0.43))) / (($B$7/100) + ($B$8/100)*((B42-1)*($D$28/0.43) + 1)), 0))</f>
        <v>-0.52684186347695705</v>
      </c>
      <c r="C50" s="23">
        <f t="shared" si="8"/>
        <v>4.3078481191491241E-2</v>
      </c>
      <c r="D50" s="23">
        <f t="shared" si="8"/>
        <v>0.40329495517985137</v>
      </c>
      <c r="E50" s="23">
        <f t="shared" si="8"/>
        <v>-0.46773855374848911</v>
      </c>
      <c r="F50" s="23">
        <f t="shared" si="8"/>
        <v>-0.12461856010191126</v>
      </c>
      <c r="G50" s="23">
        <f t="shared" si="8"/>
        <v>0.62563983547193969</v>
      </c>
      <c r="H50" s="23">
        <f t="shared" si="8"/>
        <v>-0.45743898258134336</v>
      </c>
      <c r="I50" s="23">
        <f t="shared" si="8"/>
        <v>-0.35221114736575221</v>
      </c>
      <c r="J50" s="23">
        <f t="shared" si="8"/>
        <v>-0.51029144194505915</v>
      </c>
      <c r="K50" s="23">
        <f t="shared" si="8"/>
        <v>-7.1162766421152199E-2</v>
      </c>
      <c r="L50" s="23">
        <f t="shared" si="8"/>
        <v>8.9583495668215843E-2</v>
      </c>
      <c r="M50" s="23">
        <f t="shared" si="8"/>
        <v>-0.42731241027491867</v>
      </c>
      <c r="N50" s="23" t="str">
        <f t="shared" si="8"/>
        <v/>
      </c>
      <c r="O50" s="23" t="str">
        <f t="shared" si="8"/>
        <v/>
      </c>
      <c r="P50" s="23" t="str">
        <f t="shared" si="8"/>
        <v/>
      </c>
      <c r="Q50" s="23" t="str">
        <f t="shared" si="8"/>
        <v/>
      </c>
      <c r="R50" s="23" t="str">
        <f t="shared" si="8"/>
        <v/>
      </c>
      <c r="S50" s="23" t="str">
        <f t="shared" si="8"/>
        <v/>
      </c>
      <c r="T50" s="23" t="str">
        <f t="shared" si="8"/>
        <v/>
      </c>
      <c r="U50" s="23" t="str">
        <f t="shared" si="8"/>
        <v/>
      </c>
      <c r="V50" s="23" t="str">
        <f t="shared" si="8"/>
        <v/>
      </c>
      <c r="W50" s="23" t="str">
        <f t="shared" si="8"/>
        <v/>
      </c>
      <c r="X50" s="23" t="str">
        <f t="shared" si="8"/>
        <v/>
      </c>
      <c r="Y50" s="23" t="str">
        <f t="shared" si="8"/>
        <v/>
      </c>
      <c r="Z50" s="23" t="str">
        <f t="shared" si="8"/>
        <v/>
      </c>
      <c r="AA50" s="24" t="s">
        <v>72</v>
      </c>
    </row>
    <row r="51" spans="1:27" ht="20.100000000000001" customHeight="1" x14ac:dyDescent="0.25">
      <c r="A51" s="14" t="s">
        <v>73</v>
      </c>
      <c r="B51" s="66">
        <f>IF(B39="", "", IFERROR(B49-B45, ""))</f>
        <v>359.42602398737256</v>
      </c>
      <c r="C51" s="66">
        <f t="shared" ref="C51:Z51" si="9">IF(C39="", "", IFERROR(C49-C45, ""))</f>
        <v>-78.867488863900803</v>
      </c>
      <c r="D51" s="66">
        <f t="shared" si="9"/>
        <v>-764.57080787249561</v>
      </c>
      <c r="E51" s="66">
        <f t="shared" si="9"/>
        <v>408.07485836189119</v>
      </c>
      <c r="F51" s="66">
        <f t="shared" si="9"/>
        <v>74.683572559818572</v>
      </c>
      <c r="G51" s="66">
        <f t="shared" si="9"/>
        <v>-1217.85557659347</v>
      </c>
      <c r="H51" s="66">
        <f t="shared" si="9"/>
        <v>320.46704074550303</v>
      </c>
      <c r="I51" s="66">
        <f t="shared" si="9"/>
        <v>318.16388718239125</v>
      </c>
      <c r="J51" s="66">
        <f t="shared" si="9"/>
        <v>350.43127046555196</v>
      </c>
      <c r="K51" s="66">
        <f t="shared" si="9"/>
        <v>17.039984663479459</v>
      </c>
      <c r="L51" s="66">
        <f t="shared" si="9"/>
        <v>-165.10339327798556</v>
      </c>
      <c r="M51" s="66">
        <f t="shared" si="9"/>
        <v>378.11062864184225</v>
      </c>
      <c r="N51" s="66" t="str">
        <f t="shared" si="9"/>
        <v/>
      </c>
      <c r="O51" s="66" t="str">
        <f t="shared" si="9"/>
        <v/>
      </c>
      <c r="P51" s="66" t="str">
        <f t="shared" si="9"/>
        <v/>
      </c>
      <c r="Q51" s="66" t="str">
        <f t="shared" si="9"/>
        <v/>
      </c>
      <c r="R51" s="66" t="str">
        <f t="shared" si="9"/>
        <v/>
      </c>
      <c r="S51" s="66" t="str">
        <f t="shared" si="9"/>
        <v/>
      </c>
      <c r="T51" s="66" t="str">
        <f t="shared" si="9"/>
        <v/>
      </c>
      <c r="U51" s="66" t="str">
        <f t="shared" si="9"/>
        <v/>
      </c>
      <c r="V51" s="66" t="str">
        <f t="shared" si="9"/>
        <v/>
      </c>
      <c r="W51" s="66" t="str">
        <f t="shared" si="9"/>
        <v/>
      </c>
      <c r="X51" s="66" t="str">
        <f t="shared" si="9"/>
        <v/>
      </c>
      <c r="Y51" s="66" t="str">
        <f t="shared" si="9"/>
        <v/>
      </c>
      <c r="Z51" s="66" t="str">
        <f t="shared" si="9"/>
        <v/>
      </c>
      <c r="AA51" s="32">
        <f>SUM(B51:Z51)</f>
        <v>-1.7053025658242404E-12</v>
      </c>
    </row>
  </sheetData>
  <mergeCells count="32">
    <mergeCell ref="A17:I17"/>
    <mergeCell ref="A23:I23"/>
    <mergeCell ref="A24:I25"/>
    <mergeCell ref="E32:G32"/>
    <mergeCell ref="E27:G27"/>
    <mergeCell ref="D34:E34"/>
    <mergeCell ref="A1:I1"/>
    <mergeCell ref="A2:I2"/>
    <mergeCell ref="A3:I3"/>
    <mergeCell ref="D6:F6"/>
    <mergeCell ref="D7:F7"/>
    <mergeCell ref="D8:F8"/>
    <mergeCell ref="D9:F9"/>
    <mergeCell ref="D10:F10"/>
    <mergeCell ref="D11:F11"/>
    <mergeCell ref="D12:F12"/>
    <mergeCell ref="D13:F13"/>
    <mergeCell ref="D14:F14"/>
    <mergeCell ref="E28:G28"/>
    <mergeCell ref="E29:G29"/>
    <mergeCell ref="E30:G30"/>
    <mergeCell ref="E31:G31"/>
    <mergeCell ref="D15:F15"/>
    <mergeCell ref="A36:Z36"/>
    <mergeCell ref="H29:I29"/>
    <mergeCell ref="H30:I30"/>
    <mergeCell ref="A5:B5"/>
    <mergeCell ref="H31:I31"/>
    <mergeCell ref="H28:I28"/>
    <mergeCell ref="H32:I32"/>
    <mergeCell ref="D5:G5"/>
    <mergeCell ref="H27:I27"/>
  </mergeCells>
  <conditionalFormatting sqref="B45:Z45">
    <cfRule type="colorScale" priority="7">
      <colorScale>
        <cfvo type="min"/>
        <cfvo type="percentile" val="50"/>
        <cfvo type="max"/>
        <color rgb="FF63BE7B"/>
        <color rgb="FFFFEB84"/>
        <color rgb="FFF8696B"/>
      </colorScale>
    </cfRule>
  </conditionalFormatting>
  <conditionalFormatting sqref="B49:Z49">
    <cfRule type="colorScale" priority="6">
      <colorScale>
        <cfvo type="min"/>
        <cfvo type="percentile" val="50"/>
        <cfvo type="max"/>
        <color rgb="FF63BE7B"/>
        <color rgb="FFFFEB84"/>
        <color rgb="FFF8696B"/>
      </colorScale>
    </cfRule>
  </conditionalFormatting>
  <conditionalFormatting sqref="B50:Z50">
    <cfRule type="colorScale" priority="5">
      <colorScale>
        <cfvo type="min"/>
        <cfvo type="percentile" val="50"/>
        <cfvo type="max"/>
        <color rgb="FF63BE7B"/>
        <color rgb="FFFFEB84"/>
        <color rgb="FFF8696B"/>
      </colorScale>
    </cfRule>
  </conditionalFormatting>
  <conditionalFormatting sqref="H28:H32">
    <cfRule type="cellIs" dxfId="17" priority="3" stopIfTrue="1" operator="equal">
      <formula>"✔ ERFÜLLT"</formula>
    </cfRule>
    <cfRule type="cellIs" dxfId="16" priority="4" stopIfTrue="1" operator="equal">
      <formula>"✘ NICHT ERFÜLLT"</formula>
    </cfRule>
  </conditionalFormatting>
  <conditionalFormatting sqref="A24:I25">
    <cfRule type="expression" dxfId="15" priority="1">
      <formula>IF(AND(D28&lt;=0.34, D29&gt;=0.1, OR(D30&gt;=0.85, AND(D31&lt;=0.9, D32&gt;=3))),TRUE)</formula>
    </cfRule>
    <cfRule type="expression" dxfId="14" priority="2">
      <formula>IF(NOT(AND(D28&lt;=0.34, D29&gt;=0.1, OR(D30&gt;=0.85, AND(D31&lt;=0.9, D32&gt;=3)))),TRUE)</formula>
    </cfRule>
  </conditionalFormatting>
  <dataValidations count="3">
    <dataValidation type="list" allowBlank="1" sqref="G6" xr:uid="{00000000-0002-0000-0300-000000000000}">
      <formula1>"Erdgas,Heizöl,Fernwärme,Holzpellets,Stückholz"</formula1>
    </dataValidation>
    <dataValidation type="list" allowBlank="1" sqref="G7" xr:uid="{00000000-0002-0000-0300-000001000000}">
      <formula1>"Ja,Nein"</formula1>
    </dataValidation>
    <dataValidation type="list" allowBlank="1" sqref="B20" xr:uid="{00000000-0002-0000-0300-000002000000}">
      <formula1>"1.000,0.789"</formula1>
    </dataValidation>
  </dataValidations>
  <pageMargins left="0.75" right="0.75" top="1" bottom="1" header="0.5" footer="0.5"/>
  <legacy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Rohrwärme-Rechner</vt:lpstr>
      <vt:lpstr>Basisempfindlichkeiten</vt:lpstr>
      <vt:lpstr>Formeln &amp; Abkürzungen</vt:lpstr>
      <vt:lpstr>VDI-Referenzbeispiel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Lukas Collier</cp:lastModifiedBy>
  <dcterms:created xsi:type="dcterms:W3CDTF">2026-09-08T20:39:12Z</dcterms:created>
  <dcterms:modified xsi:type="dcterms:W3CDTF">2026-09-09T20:42:01Z</dcterms:modified>
</cp:coreProperties>
</file>